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ORDEN CARPETAS\DOCUMENTOS\Trabajo\Estadísticas\Documentos\2022\4 Abril\"/>
    </mc:Choice>
  </mc:AlternateContent>
  <bookViews>
    <workbookView xWindow="-105" yWindow="-105" windowWidth="23250" windowHeight="12570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F57" i="1"/>
  <c r="H57" i="1" l="1"/>
  <c r="E57" i="1"/>
  <c r="F1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<sst xmlns="http://schemas.openxmlformats.org/spreadsheetml/2006/main" count="308" uniqueCount="132">
  <si>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</si>
  <si>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</si>
  <si>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</si>
  <si>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</si>
  <si>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</si>
  <si>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</si>
  <si>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</si>
  <si>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</si>
  <si>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</si>
  <si>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</si>
  <si>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</si>
  <si>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</si>
  <si>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</si>
  <si>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</si>
  <si>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</si>
  <si>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</si>
  <si>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</si>
  <si>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</si>
  <si>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</si>
  <si>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</si>
  <si>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</si>
  <si>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</si>
  <si>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</si>
  <si>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</si>
  <si>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</si>
  <si>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</si>
  <si>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</si>
  <si>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</si>
  <si>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</si>
  <si>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</si>
  <si>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</si>
  <si>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</si>
  <si>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</si>
  <si>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</si>
  <si>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</si>
  <si>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</si>
  <si>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</si>
  <si>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</si>
  <si>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</si>
  <si>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</si>
  <si>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</si>
  <si>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</si>
  <si>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</si>
  <si>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</si>
  <si>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</si>
  <si>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</si>
  <si>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</si>
  <si>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</si>
  <si>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</si>
  <si>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</si>
  <si>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</si>
  <si>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</si>
  <si>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</si>
  <si>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</si>
  <si>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</si>
  <si>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</si>
  <si>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</si>
  <si>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</si>
  <si>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</si>
  <si>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</si>
  <si>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</si>
  <si>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</si>
  <si>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</si>
  <si>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</si>
  <si>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</si>
  <si>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</si>
  <si>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</si>
  <si>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</si>
  <si>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</si>
  <si>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</si>
  <si>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</si>
  <si>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</si>
  <si>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</si>
  <si>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</si>
  <si>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</si>
  <si>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</si>
  <si>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</si>
  <si>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</si>
  <si>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</si>
  <si>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</si>
  <si>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</si>
  <si>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</si>
  <si>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</si>
  <si>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</si>
  <si>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</si>
  <si>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</si>
  <si>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</si>
  <si>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</si>
  <si>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</si>
  <si>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</si>
  <si>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</si>
  <si>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</si>
  <si>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</si>
  <si>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</si>
  <si>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</si>
  <si>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</si>
  <si>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</si>
  <si>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</si>
  <si>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</si>
  <si>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</si>
  <si>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</si>
  <si>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</si>
  <si>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</si>
  <si>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</si>
  <si>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</si>
  <si>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</si>
  <si>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</si>
  <si>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</si>
  <si>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</si>
  <si>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</si>
  <si>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</si>
  <si>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</si>
  <si>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</si>
  <si>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</si>
  <si>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</si>
  <si>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</si>
  <si>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</si>
  <si>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</si>
  <si>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</si>
  <si>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</si>
  <si>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</si>
  <si>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</si>
  <si>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</si>
  <si>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</si>
  <si>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</si>
  <si>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1. RESUMEN NACIONAL AL MES DE MARZO 2022</t>
  </si>
  <si>
    <t>Marzo</t>
  </si>
  <si>
    <t>Enero - Marzo</t>
  </si>
  <si>
    <t>Grafico N° 11: Generación de energía eléctrica por Región, al mes de marzo 2022</t>
  </si>
  <si>
    <t>Cuadro N° 8: Producción de energía eléctrica nacional por zona del país, al mes de marzo</t>
  </si>
  <si>
    <t>3.2 Producción de energía eléctrica (GWh) por origen y zona al mes de marzo 2022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</si>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</sst>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3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on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ont="1" applyFill="1" applyBorder="1" applyAlignment="1">
      <alignment horizontal="center"/>
    </xf>
    <xf numFmtId="3" fontId="0" fillId="71" borderId="90" xfId="0" applyNumberFormat="1" applyFont="1" applyFill="1" applyBorder="1"/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0" fontId="0" fillId="71" borderId="93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5" xfId="0" applyFont="1" applyFill="1" applyBorder="1"/>
    <xf numFmtId="3" fontId="0" fillId="68" borderId="85" xfId="0" applyNumberFormat="1" applyFont="1" applyFill="1" applyBorder="1" applyAlignment="1">
      <alignment vertical="center"/>
    </xf>
    <xf numFmtId="3" fontId="0" fillId="68" borderId="81" xfId="0" applyNumberFormat="1" applyFon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3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NumberFormat="1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4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5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178" fontId="76" fillId="0" borderId="73" xfId="33743" applyNumberFormat="1" applyFont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3" xfId="0" applyNumberFormat="1" applyFill="1" applyBorder="1"/>
    <xf numFmtId="4" fontId="0" fillId="68" borderId="63" xfId="0" applyNumberFormat="1" applyFont="1" applyFill="1" applyBorder="1" applyAlignment="1">
      <alignment vertic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167" fontId="0" fillId="68" borderId="62" xfId="0" applyNumberFormat="1" applyFill="1" applyBorder="1" applyAlignment="1">
      <alignment horizontal="center" vertical="center"/>
    </xf>
    <xf numFmtId="0" fontId="3" fillId="69" borderId="118" xfId="0" applyFont="1" applyFill="1" applyBorder="1" applyAlignment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183" fontId="35" fillId="68" borderId="22" xfId="33743" applyNumberFormat="1" applyFont="1" applyFill="1" applyBorder="1" applyAlignment="1">
      <alignment horizontal="center" vertical="center"/>
    </xf>
    <xf numFmtId="167" fontId="0" fillId="68" borderId="84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99" fillId="0" borderId="85" xfId="0" applyNumberFormat="1" applyFont="1" applyBorder="1"/>
    <xf numFmtId="178" fontId="96" fillId="68" borderId="32" xfId="33743" applyNumberFormat="1" applyFont="1" applyFill="1" applyBorder="1" applyAlignment="1">
      <alignment horizontal="center"/>
    </xf>
    <xf numFmtId="178" fontId="96" fillId="0" borderId="32" xfId="33743" applyNumberFormat="1" applyFont="1" applyBorder="1" applyAlignment="1">
      <alignment horizontal="center"/>
    </xf>
    <xf numFmtId="167" fontId="0" fillId="68" borderId="30" xfId="0" applyNumberFormat="1" applyFill="1" applyBorder="1"/>
    <xf numFmtId="167" fontId="0" fillId="68" borderId="35" xfId="0" applyNumberFormat="1" applyFill="1" applyBorder="1"/>
    <xf numFmtId="4" fontId="0" fillId="68" borderId="27" xfId="0" applyNumberFormat="1" applyFont="1" applyFill="1" applyBorder="1" applyAlignment="1">
      <alignment vertical="center"/>
    </xf>
    <xf numFmtId="167" fontId="0" fillId="68" borderId="83" xfId="0" applyNumberFormat="1" applyFont="1" applyFill="1" applyBorder="1" applyAlignment="1">
      <alignment vertical="center"/>
    </xf>
    <xf numFmtId="167" fontId="0" fillId="68" borderId="63" xfId="0" applyNumberFormat="1" applyFont="1" applyFill="1" applyBorder="1" applyAlignment="1">
      <alignment vertical="center"/>
    </xf>
    <xf numFmtId="167" fontId="0" fillId="68" borderId="0" xfId="0" applyNumberFormat="1" applyFont="1" applyFill="1" applyBorder="1" applyAlignment="1">
      <alignment vertical="center"/>
    </xf>
    <xf numFmtId="167" fontId="0" fillId="68" borderId="61" xfId="0" applyNumberFormat="1" applyFon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 vertic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167" fontId="99" fillId="0" borderId="28" xfId="0" applyNumberFormat="1" applyFont="1" applyBorder="1"/>
    <xf numFmtId="167" fontId="99" fillId="0" borderId="60" xfId="0" applyNumberFormat="1" applyFont="1" applyBorder="1"/>
    <xf numFmtId="4" fontId="99" fillId="0" borderId="78" xfId="0" applyNumberFormat="1" applyFont="1" applyBorder="1"/>
    <xf numFmtId="4" fontId="99" fillId="0" borderId="107" xfId="0" applyNumberFormat="1" applyFont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Marzo 2022</a:t>
            </a:r>
          </a:p>
          <a:p>
            <a:pPr>
              <a:defRPr sz="800" b="1"/>
            </a:pPr>
            <a:r>
              <a:rPr lang="es-PE" sz="800" b="1"/>
              <a:t>Total : 5 047 GWh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56.449267186462222</c:v>
                </c:pt>
                <c:pt idx="1">
                  <c:v>117.24078569496</c:v>
                </c:pt>
                <c:pt idx="2">
                  <c:v>3264.4913699608446</c:v>
                </c:pt>
                <c:pt idx="3">
                  <c:v>1408.9193331477443</c:v>
                </c:pt>
                <c:pt idx="4">
                  <c:v>200.00397761749997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2693.2560424618928</c:v>
                </c:pt>
                <c:pt idx="2" formatCode="_ * #,##0.00_ ;_ * \-#,##0.00_ ;_ * &quot;-&quot;??_ ;_ @_ ">
                  <c:v>6.4619999999999999E-3</c:v>
                </c:pt>
                <c:pt idx="3">
                  <c:v>1357.7876532604801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62.936644090000016</c:v>
                </c:pt>
                <c:pt idx="1">
                  <c:v>437.68050586642306</c:v>
                </c:pt>
                <c:pt idx="2">
                  <c:v>63.60762537250001</c:v>
                </c:pt>
                <c:pt idx="3">
                  <c:v>51.922945302743528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34.561057233333329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4051.0501577223727</c:v>
                </c:pt>
                <c:pt idx="1">
                  <c:v>616.14772063166663</c:v>
                </c:pt>
                <c:pt idx="2">
                  <c:v>345.34579802013928</c:v>
                </c:pt>
                <c:pt idx="3">
                  <c:v>34.561057233333329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CALLAO</c:v>
                </c:pt>
                <c:pt idx="5">
                  <c:v>ANCASH</c:v>
                </c:pt>
                <c:pt idx="6">
                  <c:v>CUSCO</c:v>
                </c:pt>
                <c:pt idx="7">
                  <c:v>CAJAMARCA</c:v>
                </c:pt>
                <c:pt idx="8">
                  <c:v>PUNO</c:v>
                </c:pt>
                <c:pt idx="9">
                  <c:v>AREQUIPA</c:v>
                </c:pt>
                <c:pt idx="10">
                  <c:v>ICA</c:v>
                </c:pt>
                <c:pt idx="11">
                  <c:v>PASCO</c:v>
                </c:pt>
                <c:pt idx="12">
                  <c:v>LA LIBERTAD</c:v>
                </c:pt>
                <c:pt idx="13">
                  <c:v>PIURA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UCAYALI</c:v>
                </c:pt>
                <c:pt idx="18">
                  <c:v>LAMBAYEQUE</c:v>
                </c:pt>
                <c:pt idx="19">
                  <c:v>APURIMAC</c:v>
                </c:pt>
                <c:pt idx="20">
                  <c:v>AMAZONAS</c:v>
                </c:pt>
                <c:pt idx="21">
                  <c:v>SAN MARTÍN</c:v>
                </c:pt>
                <c:pt idx="22">
                  <c:v>AYACUCHO</c:v>
                </c:pt>
                <c:pt idx="23">
                  <c:v>MADRE DE DIOS</c:v>
                </c:pt>
                <c:pt idx="24">
                  <c:v>TUMBES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1780.7769756075013</c:v>
                </c:pt>
                <c:pt idx="1">
                  <c:v>906.83118897999975</c:v>
                </c:pt>
                <c:pt idx="2">
                  <c:v>363.76591090416639</c:v>
                </c:pt>
                <c:pt idx="3">
                  <c:v>315.4231932733336</c:v>
                </c:pt>
                <c:pt idx="4">
                  <c:v>293.79611579166681</c:v>
                </c:pt>
                <c:pt idx="5">
                  <c:v>277.18670903999981</c:v>
                </c:pt>
                <c:pt idx="6">
                  <c:v>195.08209455416662</c:v>
                </c:pt>
                <c:pt idx="7">
                  <c:v>141.62652614749999</c:v>
                </c:pt>
                <c:pt idx="8">
                  <c:v>126.03722989249999</c:v>
                </c:pt>
                <c:pt idx="9">
                  <c:v>111.13249628500009</c:v>
                </c:pt>
                <c:pt idx="10">
                  <c:v>103.05218317916666</c:v>
                </c:pt>
                <c:pt idx="11">
                  <c:v>101.349109575</c:v>
                </c:pt>
                <c:pt idx="12">
                  <c:v>96.314714320133959</c:v>
                </c:pt>
                <c:pt idx="13">
                  <c:v>94.592080058338652</c:v>
                </c:pt>
                <c:pt idx="14">
                  <c:v>61.03882244583334</c:v>
                </c:pt>
                <c:pt idx="15">
                  <c:v>34.561057233333329</c:v>
                </c:pt>
                <c:pt idx="16">
                  <c:v>14.131949837499999</c:v>
                </c:pt>
                <c:pt idx="17">
                  <c:v>11.920954550704879</c:v>
                </c:pt>
                <c:pt idx="18">
                  <c:v>4.7934779941666683</c:v>
                </c:pt>
                <c:pt idx="19">
                  <c:v>4.4937569999999996</c:v>
                </c:pt>
                <c:pt idx="20">
                  <c:v>4.4553259999999995</c:v>
                </c:pt>
                <c:pt idx="21">
                  <c:v>3.5344735000000003</c:v>
                </c:pt>
                <c:pt idx="22">
                  <c:v>1.0395939999999999</c:v>
                </c:pt>
                <c:pt idx="23">
                  <c:v>0.1395934375</c:v>
                </c:pt>
                <c:pt idx="24">
                  <c:v>2.92E-2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3275.2292365782973</c:v>
                </c:pt>
                <c:pt idx="1">
                  <c:v>1455.5725528443249</c:v>
                </c:pt>
                <c:pt idx="2">
                  <c:v>135.94664716999998</c:v>
                </c:pt>
                <c:pt idx="3">
                  <c:v>63.765243977499992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3320.9406371473069</c:v>
                </c:pt>
                <c:pt idx="1">
                  <c:v>1526.1601188427044</c:v>
                </c:pt>
                <c:pt idx="2">
                  <c:v>136.39635224499997</c:v>
                </c:pt>
                <c:pt idx="3">
                  <c:v>63.60762537250001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161.92890548262409</c:v>
                </c:pt>
                <c:pt idx="1">
                  <c:v>169.94323522791848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4768.5847750874982</c:v>
                </c:pt>
                <c:pt idx="1">
                  <c:v>4877.1614983795916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3015.0875282932975</c:v>
                </c:pt>
                <c:pt idx="1">
                  <c:v>3067.9704394248065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1414.5712318793251</c:v>
                </c:pt>
                <c:pt idx="1">
                  <c:v>1487.8390537319715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260.14170828499988</c:v>
                </c:pt>
                <c:pt idx="1">
                  <c:v>252.97019772250056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240.71321211249997</c:v>
                </c:pt>
                <c:pt idx="1">
                  <c:v>238.3250427282326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3320.9406371473069</c:v>
                </c:pt>
                <c:pt idx="1">
                  <c:v>1387.6619569467384</c:v>
                </c:pt>
                <c:pt idx="2">
                  <c:v>99.977204182376227</c:v>
                </c:pt>
                <c:pt idx="3">
                  <c:v>38.321065110732633</c:v>
                </c:pt>
                <c:pt idx="4">
                  <c:v>136.39635224499997</c:v>
                </c:pt>
                <c:pt idx="5">
                  <c:v>63.60762537250001</c:v>
                </c:pt>
                <c:pt idx="6" formatCode="#,##0.0">
                  <c:v>0.19989260285562158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4689.8004684576226</c:v>
                </c:pt>
                <c:pt idx="1">
                  <c:v>4808.779690879277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240.7132121125</c:v>
                </c:pt>
                <c:pt idx="1">
                  <c:v>238.32504272823263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771312368755E-2"/>
                  <c:y val="-4.747837988279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30296600483626E-2"/>
                  <c:y val="-4.5727548305236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4.8821122444318216E-2</c:v>
                </c:pt>
                <c:pt idx="1">
                  <c:v>4.7220150028050932E-2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4467361856936206"/>
                  <c:y val="-0.120828244954725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3275.2292365782973</c:v>
                </c:pt>
                <c:pt idx="1">
                  <c:v>1331.4624904957002</c:v>
                </c:pt>
                <c:pt idx="2">
                  <c:v>82.887341383624516</c:v>
                </c:pt>
                <c:pt idx="3" formatCode="#,##0.00">
                  <c:v>0.22140000000000001</c:v>
                </c:pt>
                <c:pt idx="4">
                  <c:v>41.001320965000019</c:v>
                </c:pt>
                <c:pt idx="5">
                  <c:v>135.94664716999998</c:v>
                </c:pt>
                <c:pt idx="6">
                  <c:v>63.765243977499992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0617613973811689"/>
                  <c:y val="-0.13523810392525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9.4089860584307822E-2"/>
                  <c:y val="0.28961396644567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3320.9406371473069</c:v>
                </c:pt>
                <c:pt idx="1">
                  <c:v>1387.6619569467384</c:v>
                </c:pt>
                <c:pt idx="2">
                  <c:v>99.977204182376227</c:v>
                </c:pt>
                <c:pt idx="3" formatCode="#,##0.00">
                  <c:v>0.19989260285562158</c:v>
                </c:pt>
                <c:pt idx="4">
                  <c:v>38.321065110732633</c:v>
                </c:pt>
                <c:pt idx="5">
                  <c:v>136.39635224499997</c:v>
                </c:pt>
                <c:pt idx="6">
                  <c:v>63.60762537250001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73.459708154999959</c:v>
                </c:pt>
                <c:pt idx="1">
                  <c:v>184.64686228722942</c:v>
                </c:pt>
                <c:pt idx="2">
                  <c:v>0</c:v>
                </c:pt>
                <c:pt idx="3">
                  <c:v>87.239227577909901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marzo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38494" y="972764"/>
          <a:ext cx="6691032" cy="2328312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4314" y="3258488"/>
          <a:ext cx="4025694" cy="5407325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topLeftCell="B1" zoomScaleNormal="120" zoomScaleSheetLayoutView="10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7.285156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27"/>
      <c r="D8" s="127"/>
      <c r="E8" s="127"/>
      <c r="F8" s="127"/>
      <c r="G8" s="127"/>
      <c r="H8" s="9"/>
      <c r="I8" s="9"/>
      <c r="J8" s="9"/>
      <c r="K8" s="9"/>
    </row>
    <row r="9" spans="2:19" s="1" customFormat="1" ht="25.5">
      <c r="B9" s="8"/>
      <c r="C9" s="177" t="s">
        <v>62</v>
      </c>
      <c r="D9" s="178" t="s">
        <v>69</v>
      </c>
      <c r="E9" s="179" t="s">
        <v>70</v>
      </c>
      <c r="F9" s="180" t="s">
        <v>71</v>
      </c>
      <c r="G9" s="181" t="s">
        <v>72</v>
      </c>
      <c r="H9" s="9"/>
      <c r="I9" s="9"/>
      <c r="J9" s="9"/>
      <c r="K9" s="9"/>
    </row>
    <row r="10" spans="2:19" s="1" customFormat="1" ht="13.5" thickBot="1">
      <c r="B10" s="8"/>
      <c r="C10" s="182" t="s">
        <v>63</v>
      </c>
      <c r="D10" s="183"/>
      <c r="E10" s="184"/>
      <c r="F10" s="185"/>
      <c r="G10" s="186"/>
      <c r="H10" s="9"/>
      <c r="I10" s="9"/>
      <c r="J10" s="9"/>
      <c r="K10" s="9"/>
    </row>
    <row r="11" spans="2:19" s="1" customFormat="1" ht="13.5" thickTop="1">
      <c r="B11" s="8"/>
      <c r="C11" s="128"/>
      <c r="D11" s="129"/>
      <c r="E11" s="130"/>
      <c r="F11" s="131"/>
      <c r="G11" s="132"/>
      <c r="H11" s="9"/>
      <c r="I11" s="9"/>
      <c r="J11" s="9"/>
      <c r="K11" s="9"/>
      <c r="Q11" s="375" t="s">
        <v>64</v>
      </c>
      <c r="R11" s="142" t="s">
        <v>41</v>
      </c>
      <c r="S11" s="143">
        <f>E12</f>
        <v>56.449267186462222</v>
      </c>
    </row>
    <row r="12" spans="2:19" s="1" customFormat="1">
      <c r="B12" s="8"/>
      <c r="C12" s="133" t="s">
        <v>66</v>
      </c>
      <c r="D12" s="134">
        <v>3264.4913699608446</v>
      </c>
      <c r="E12" s="135">
        <v>56.449267186462222</v>
      </c>
      <c r="F12" s="136">
        <f>SUM(D12:E12)</f>
        <v>3320.9406371473069</v>
      </c>
      <c r="G12" s="327">
        <f>(F12/F$16)</f>
        <v>0.65798924580144447</v>
      </c>
      <c r="H12" s="9"/>
      <c r="I12" s="9"/>
      <c r="J12" s="9"/>
      <c r="K12" s="9"/>
      <c r="Q12" s="375"/>
      <c r="R12" s="142" t="s">
        <v>73</v>
      </c>
      <c r="S12" s="143">
        <f>E13</f>
        <v>117.24078569496</v>
      </c>
    </row>
    <row r="13" spans="2:19" s="1" customFormat="1">
      <c r="B13" s="8"/>
      <c r="C13" s="133" t="s">
        <v>65</v>
      </c>
      <c r="D13" s="134">
        <v>1408.9193331477443</v>
      </c>
      <c r="E13" s="135">
        <v>117.24078569496</v>
      </c>
      <c r="F13" s="136">
        <f>SUM(D13:E13)</f>
        <v>1526.1601188427044</v>
      </c>
      <c r="G13" s="327">
        <f>(F13/F$16)+0.001</f>
        <v>0.30338328693287353</v>
      </c>
      <c r="H13" s="9"/>
      <c r="I13" s="9"/>
      <c r="J13" s="9"/>
      <c r="K13" s="9"/>
      <c r="Q13" s="375" t="s">
        <v>88</v>
      </c>
      <c r="R13" s="142" t="s">
        <v>41</v>
      </c>
      <c r="S13" s="143">
        <f>D12</f>
        <v>3264.4913699608446</v>
      </c>
    </row>
    <row r="14" spans="2:19" s="1" customFormat="1">
      <c r="B14" s="8"/>
      <c r="C14" s="133" t="s">
        <v>67</v>
      </c>
      <c r="D14" s="134">
        <v>136.39635224499997</v>
      </c>
      <c r="E14" s="137"/>
      <c r="F14" s="136">
        <f>SUM(D14:E14)</f>
        <v>136.39635224499997</v>
      </c>
      <c r="G14" s="327">
        <f>(F14/F$16)</f>
        <v>2.7024672449685455E-2</v>
      </c>
      <c r="H14" s="9"/>
      <c r="I14" s="9"/>
      <c r="J14" s="9"/>
      <c r="K14" s="9"/>
      <c r="Q14" s="375"/>
      <c r="R14" s="142" t="s">
        <v>73</v>
      </c>
      <c r="S14" s="143">
        <f>D13</f>
        <v>1408.9193331477443</v>
      </c>
    </row>
    <row r="15" spans="2:19" s="1" customFormat="1" ht="13.5" thickBot="1">
      <c r="B15" s="8"/>
      <c r="C15" s="138" t="s">
        <v>5</v>
      </c>
      <c r="D15" s="139">
        <v>63.60762537250001</v>
      </c>
      <c r="E15" s="140"/>
      <c r="F15" s="141">
        <f>SUM(D15:E15)</f>
        <v>63.60762537250001</v>
      </c>
      <c r="G15" s="328">
        <f>(F15/F$16)</f>
        <v>1.2602794815996474E-2</v>
      </c>
      <c r="H15" s="9"/>
      <c r="I15" s="9"/>
      <c r="J15" s="9"/>
      <c r="K15" s="9"/>
      <c r="Q15" s="375"/>
      <c r="R15" s="142" t="s">
        <v>87</v>
      </c>
      <c r="S15" s="143">
        <f>SUM(D14:D15)</f>
        <v>200.00397761749997</v>
      </c>
    </row>
    <row r="16" spans="2:19" s="1" customFormat="1" ht="13.5" thickTop="1">
      <c r="B16" s="8"/>
      <c r="C16" s="241" t="s">
        <v>71</v>
      </c>
      <c r="D16" s="242">
        <f>SUM(D12:D15)</f>
        <v>4873.4146807260886</v>
      </c>
      <c r="E16" s="243">
        <f>SUM(E12:E15)</f>
        <v>173.69005288142222</v>
      </c>
      <c r="F16" s="244">
        <f>SUM(F12:F15)</f>
        <v>5047.1047336075117</v>
      </c>
      <c r="G16" s="245"/>
      <c r="H16" s="9"/>
      <c r="I16" s="9"/>
      <c r="J16" s="9"/>
      <c r="K16" s="9"/>
    </row>
    <row r="17" spans="2:19" s="1" customFormat="1">
      <c r="B17" s="8"/>
      <c r="C17" s="246" t="s">
        <v>109</v>
      </c>
      <c r="D17" s="309">
        <f>D16/F16</f>
        <v>0.96558619999999984</v>
      </c>
      <c r="E17" s="310">
        <f>E16/F16</f>
        <v>3.4413800000000008E-2</v>
      </c>
      <c r="F17" s="247"/>
      <c r="G17" s="248"/>
      <c r="H17" s="9"/>
      <c r="I17" s="9"/>
      <c r="J17" s="9"/>
      <c r="K17" s="9"/>
    </row>
    <row r="18" spans="2:19" s="1" customFormat="1">
      <c r="B18" s="8"/>
      <c r="C18" s="128"/>
      <c r="D18" s="128"/>
      <c r="E18" s="128"/>
      <c r="F18" s="128"/>
      <c r="G18" s="128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28"/>
      <c r="D22" s="128"/>
      <c r="E22" s="128"/>
      <c r="F22" s="128"/>
      <c r="G22" s="128"/>
      <c r="H22" s="127"/>
      <c r="I22" s="127"/>
      <c r="J22" s="127"/>
      <c r="K22" s="9"/>
    </row>
    <row r="23" spans="2:19" s="1" customFormat="1" ht="12.75" customHeight="1">
      <c r="B23" s="8"/>
      <c r="C23" s="382" t="s">
        <v>112</v>
      </c>
      <c r="D23" s="383"/>
      <c r="E23" s="376" t="s">
        <v>126</v>
      </c>
      <c r="F23" s="377"/>
      <c r="G23" s="147" t="s">
        <v>74</v>
      </c>
      <c r="H23" s="380" t="s">
        <v>127</v>
      </c>
      <c r="I23" s="381"/>
      <c r="J23" s="147" t="s">
        <v>74</v>
      </c>
      <c r="K23" s="9"/>
      <c r="Q23" s="142"/>
      <c r="R23" s="142">
        <v>2021</v>
      </c>
      <c r="S23" s="142">
        <v>2022</v>
      </c>
    </row>
    <row r="24" spans="2:19" s="1" customFormat="1" ht="12.75" customHeight="1">
      <c r="B24" s="8"/>
      <c r="C24" s="148"/>
      <c r="D24" s="149"/>
      <c r="E24" s="150">
        <v>2021</v>
      </c>
      <c r="F24" s="151">
        <v>2022</v>
      </c>
      <c r="G24" s="152"/>
      <c r="H24" s="231">
        <v>2021</v>
      </c>
      <c r="I24" s="151">
        <v>2022</v>
      </c>
      <c r="J24" s="152"/>
      <c r="K24" s="9"/>
      <c r="Q24" s="142" t="s">
        <v>76</v>
      </c>
      <c r="R24" s="143">
        <f>E29</f>
        <v>161.92890548262409</v>
      </c>
      <c r="S24" s="143">
        <f>F29</f>
        <v>169.94323522791848</v>
      </c>
    </row>
    <row r="25" spans="2:19" s="1" customFormat="1">
      <c r="B25" s="8"/>
      <c r="C25" s="371" t="s">
        <v>0</v>
      </c>
      <c r="D25" s="372"/>
      <c r="E25" s="187">
        <f>SUM(E26:E28)</f>
        <v>4768.5847750874982</v>
      </c>
      <c r="F25" s="188">
        <f>SUM(F26:F28)</f>
        <v>4877.1614983795916</v>
      </c>
      <c r="G25" s="189">
        <f>((F25/E25)-1)</f>
        <v>2.2769171234897634E-2</v>
      </c>
      <c r="H25" s="232">
        <f>SUM(H26:H28)</f>
        <v>13751.156556623002</v>
      </c>
      <c r="I25" s="188">
        <f>SUM(I26:I28)</f>
        <v>14188.149311937093</v>
      </c>
      <c r="J25" s="189">
        <f>((I25/H25)-1)</f>
        <v>3.1778618294009631E-2</v>
      </c>
      <c r="K25" s="9"/>
      <c r="Q25" s="142" t="s">
        <v>0</v>
      </c>
      <c r="R25" s="143">
        <f>E25</f>
        <v>4768.5847750874982</v>
      </c>
      <c r="S25" s="143">
        <f>F25</f>
        <v>4877.1614983795916</v>
      </c>
    </row>
    <row r="26" spans="2:19" s="1" customFormat="1">
      <c r="B26" s="8"/>
      <c r="C26" s="261" t="s">
        <v>62</v>
      </c>
      <c r="D26" s="270" t="s">
        <v>102</v>
      </c>
      <c r="E26" s="154">
        <v>4619.3049310874985</v>
      </c>
      <c r="F26" s="155">
        <v>4718.9310901574927</v>
      </c>
      <c r="G26" s="273">
        <f t="shared" ref="G26:G32" si="0">((F26/E26)-1)</f>
        <v>2.1567348455288071E-2</v>
      </c>
      <c r="H26" s="233">
        <v>13331.094206180003</v>
      </c>
      <c r="I26" s="155">
        <v>13724.141936194994</v>
      </c>
      <c r="J26" s="156">
        <f t="shared" ref="J26:J32" si="1">((I26/H26)-1)</f>
        <v>2.9483531054246281E-2</v>
      </c>
      <c r="K26" s="9"/>
    </row>
    <row r="27" spans="2:19" s="1" customFormat="1">
      <c r="B27" s="8"/>
      <c r="C27" s="262" t="s">
        <v>106</v>
      </c>
      <c r="D27" s="271" t="s">
        <v>77</v>
      </c>
      <c r="E27" s="264">
        <v>98.372721999999996</v>
      </c>
      <c r="F27" s="265">
        <v>111.32870640250843</v>
      </c>
      <c r="G27" s="274">
        <f t="shared" si="0"/>
        <v>0.13170301826667385</v>
      </c>
      <c r="H27" s="266">
        <v>273.241346443</v>
      </c>
      <c r="I27" s="265">
        <v>323.93535492250845</v>
      </c>
      <c r="J27" s="274">
        <f t="shared" si="1"/>
        <v>0.18552832190088608</v>
      </c>
      <c r="K27" s="9"/>
    </row>
    <row r="28" spans="2:19" s="1" customFormat="1">
      <c r="B28" s="8"/>
      <c r="C28" s="263" t="s">
        <v>64</v>
      </c>
      <c r="D28" s="272" t="s">
        <v>77</v>
      </c>
      <c r="E28" s="154">
        <v>50.907121999999994</v>
      </c>
      <c r="F28" s="155">
        <v>46.901701819590905</v>
      </c>
      <c r="G28" s="273">
        <f t="shared" si="0"/>
        <v>-7.8680939386223558E-2</v>
      </c>
      <c r="H28" s="233">
        <v>146.82100399999999</v>
      </c>
      <c r="I28" s="155">
        <v>140.0720208195909</v>
      </c>
      <c r="J28" s="273">
        <f t="shared" si="1"/>
        <v>-4.5967422892770116E-2</v>
      </c>
      <c r="K28" s="9"/>
    </row>
    <row r="29" spans="2:19" s="1" customFormat="1">
      <c r="B29" s="8"/>
      <c r="C29" s="371" t="s">
        <v>76</v>
      </c>
      <c r="D29" s="372"/>
      <c r="E29" s="187">
        <f>SUM(E30:E31)</f>
        <v>161.92890548262409</v>
      </c>
      <c r="F29" s="188">
        <f>SUM(F30:F31)</f>
        <v>169.94323522791848</v>
      </c>
      <c r="G29" s="189">
        <f t="shared" si="0"/>
        <v>4.9492891472389777E-2</v>
      </c>
      <c r="H29" s="232">
        <f>SUM(H30:H31)</f>
        <v>496.2715949607811</v>
      </c>
      <c r="I29" s="188">
        <f>SUM(I30:I31)</f>
        <v>504.22566943819709</v>
      </c>
      <c r="J29" s="189">
        <f t="shared" si="1"/>
        <v>1.6027664202793224E-2</v>
      </c>
      <c r="K29" s="9"/>
      <c r="Q29" s="142"/>
      <c r="R29" s="142"/>
      <c r="S29" s="142"/>
    </row>
    <row r="30" spans="2:19" s="1" customFormat="1">
      <c r="B30" s="8"/>
      <c r="C30" s="267" t="s">
        <v>68</v>
      </c>
      <c r="D30" s="149"/>
      <c r="E30" s="154">
        <v>39.502798000000006</v>
      </c>
      <c r="F30" s="155">
        <v>43.154884166087143</v>
      </c>
      <c r="G30" s="273">
        <f t="shared" si="0"/>
        <v>9.2451328791624654E-2</v>
      </c>
      <c r="H30" s="233">
        <v>115.32561797049999</v>
      </c>
      <c r="I30" s="155">
        <v>125.42746441608713</v>
      </c>
      <c r="J30" s="273">
        <f t="shared" si="1"/>
        <v>8.7594123693932158E-2</v>
      </c>
      <c r="K30" s="9"/>
    </row>
    <row r="31" spans="2:19" s="1" customFormat="1" ht="13.5" thickBot="1">
      <c r="B31" s="8"/>
      <c r="C31" s="268" t="s">
        <v>64</v>
      </c>
      <c r="D31" s="269"/>
      <c r="E31" s="158">
        <v>122.42610748262408</v>
      </c>
      <c r="F31" s="159">
        <v>126.78835106183132</v>
      </c>
      <c r="G31" s="293">
        <f t="shared" si="0"/>
        <v>3.563164482564618E-2</v>
      </c>
      <c r="H31" s="234">
        <v>380.94597699028111</v>
      </c>
      <c r="I31" s="159">
        <v>378.79820502210993</v>
      </c>
      <c r="J31" s="293">
        <f t="shared" si="1"/>
        <v>-5.6379961934234224E-3</v>
      </c>
      <c r="K31" s="9"/>
    </row>
    <row r="32" spans="2:19" s="1" customFormat="1" ht="14.25" thickTop="1" thickBot="1">
      <c r="B32" s="8"/>
      <c r="C32" s="366" t="s">
        <v>108</v>
      </c>
      <c r="D32" s="367"/>
      <c r="E32" s="190">
        <f>SUM(E25,E29)</f>
        <v>4930.5136805701222</v>
      </c>
      <c r="F32" s="191">
        <f>SUM(F25,F29)</f>
        <v>5047.1047336075098</v>
      </c>
      <c r="G32" s="192">
        <f t="shared" si="0"/>
        <v>2.3646836940508509E-2</v>
      </c>
      <c r="H32" s="235">
        <f>SUM(H25,H29)</f>
        <v>14247.428151583783</v>
      </c>
      <c r="I32" s="191">
        <f>SUM(I25,I29)</f>
        <v>14692.374981375291</v>
      </c>
      <c r="J32" s="192">
        <f t="shared" si="1"/>
        <v>3.1229975337131011E-2</v>
      </c>
      <c r="K32" s="9"/>
    </row>
    <row r="33" spans="2:19" s="1" customFormat="1">
      <c r="B33" s="8"/>
      <c r="C33" s="304" t="s">
        <v>103</v>
      </c>
      <c r="D33" s="161"/>
      <c r="E33" s="161"/>
      <c r="F33" s="162"/>
      <c r="G33" s="127"/>
      <c r="H33" s="161"/>
      <c r="I33" s="161"/>
      <c r="J33" s="127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120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5"/>
      <c r="D38" s="146"/>
      <c r="E38" s="376" t="s">
        <v>126</v>
      </c>
      <c r="F38" s="377"/>
      <c r="G38" s="378" t="s">
        <v>74</v>
      </c>
      <c r="H38" s="380" t="s">
        <v>127</v>
      </c>
      <c r="I38" s="381"/>
      <c r="J38" s="378" t="s">
        <v>74</v>
      </c>
      <c r="K38" s="9"/>
      <c r="Q38" s="142"/>
      <c r="R38" s="142">
        <v>2021</v>
      </c>
      <c r="S38" s="142">
        <v>2022</v>
      </c>
    </row>
    <row r="39" spans="2:19" s="1" customFormat="1" ht="12.75" customHeight="1">
      <c r="B39" s="8"/>
      <c r="C39" s="148" t="s">
        <v>75</v>
      </c>
      <c r="D39" s="149"/>
      <c r="E39" s="150">
        <v>2021</v>
      </c>
      <c r="F39" s="151">
        <v>2022</v>
      </c>
      <c r="G39" s="379"/>
      <c r="H39" s="231">
        <v>2021</v>
      </c>
      <c r="I39" s="151">
        <v>2022</v>
      </c>
      <c r="J39" s="379"/>
      <c r="K39" s="9"/>
      <c r="Q39" s="142" t="s">
        <v>66</v>
      </c>
      <c r="R39" s="143">
        <f>SUM(E41,E46)</f>
        <v>3275.2292365782973</v>
      </c>
      <c r="S39" s="143">
        <f>SUM(F41,F46)</f>
        <v>3320.9406371473069</v>
      </c>
    </row>
    <row r="40" spans="2:19" s="1" customFormat="1">
      <c r="B40" s="8"/>
      <c r="C40" s="371" t="s">
        <v>68</v>
      </c>
      <c r="D40" s="372"/>
      <c r="E40" s="187">
        <f>SUM(E41:E44)</f>
        <v>4757.1804510874981</v>
      </c>
      <c r="F40" s="188">
        <f>SUM(F41:F44)</f>
        <v>4873.4146807260886</v>
      </c>
      <c r="G40" s="189">
        <f>((F40/E40)-1)</f>
        <v>2.4433428757578257E-2</v>
      </c>
      <c r="H40" s="232">
        <f>SUM(H41:H44)</f>
        <v>13719.661170593499</v>
      </c>
      <c r="I40" s="188">
        <f>SUM(I41:I44)</f>
        <v>14173.504755533591</v>
      </c>
      <c r="J40" s="189">
        <f>((I40/H40)-1)</f>
        <v>3.3079795433494708E-2</v>
      </c>
      <c r="K40" s="9"/>
      <c r="Q40" s="142" t="s">
        <v>65</v>
      </c>
      <c r="R40" s="143">
        <f>SUM(E42,E47)</f>
        <v>1455.5725528443249</v>
      </c>
      <c r="S40" s="143">
        <f>SUM(F42,F47)</f>
        <v>1526.1601188427044</v>
      </c>
    </row>
    <row r="41" spans="2:19" s="1" customFormat="1">
      <c r="B41" s="8"/>
      <c r="C41" s="153" t="s">
        <v>66</v>
      </c>
      <c r="D41" s="128"/>
      <c r="E41" s="154">
        <v>3212.4032454324984</v>
      </c>
      <c r="F41" s="155">
        <f>D12</f>
        <v>3264.4913699608446</v>
      </c>
      <c r="G41" s="273">
        <f t="shared" ref="G41:G48" si="2">((F41/E41)-1)</f>
        <v>1.6214690544347654E-2</v>
      </c>
      <c r="H41" s="233">
        <v>9547.5196485449997</v>
      </c>
      <c r="I41" s="155">
        <v>9175.9284480708466</v>
      </c>
      <c r="J41" s="273">
        <f t="shared" ref="J41:J48" si="3">((I41/H41)-1)</f>
        <v>-3.8920181801435971E-2</v>
      </c>
      <c r="K41" s="9"/>
      <c r="Q41" s="142" t="s">
        <v>67</v>
      </c>
      <c r="R41" s="143">
        <f>E43</f>
        <v>135.94664716999998</v>
      </c>
      <c r="S41" s="143">
        <f>F43</f>
        <v>136.39635224499997</v>
      </c>
    </row>
    <row r="42" spans="2:19" s="1" customFormat="1">
      <c r="B42" s="8"/>
      <c r="C42" s="153" t="s">
        <v>65</v>
      </c>
      <c r="D42" s="128"/>
      <c r="E42" s="154">
        <v>1345.0653145075</v>
      </c>
      <c r="F42" s="155">
        <f>D13</f>
        <v>1408.9193331477443</v>
      </c>
      <c r="G42" s="273">
        <f t="shared" si="2"/>
        <v>4.747280147033206E-2</v>
      </c>
      <c r="H42" s="233">
        <v>3562.3874065985001</v>
      </c>
      <c r="I42" s="155">
        <v>4385.9048580202443</v>
      </c>
      <c r="J42" s="273">
        <f t="shared" si="3"/>
        <v>0.23117009955075862</v>
      </c>
      <c r="K42" s="9"/>
      <c r="Q42" s="142" t="s">
        <v>5</v>
      </c>
      <c r="R42" s="143">
        <f>E44</f>
        <v>63.765243977499992</v>
      </c>
      <c r="S42" s="143">
        <f>F44</f>
        <v>63.60762537250001</v>
      </c>
    </row>
    <row r="43" spans="2:19" s="1" customFormat="1">
      <c r="B43" s="8"/>
      <c r="C43" s="153" t="s">
        <v>67</v>
      </c>
      <c r="D43" s="128"/>
      <c r="E43" s="358">
        <v>135.94664716999998</v>
      </c>
      <c r="F43" s="359">
        <f>D14</f>
        <v>136.39635224499997</v>
      </c>
      <c r="G43" s="356">
        <f t="shared" si="2"/>
        <v>3.3079526737989084E-3</v>
      </c>
      <c r="H43" s="233">
        <v>409.27291917250005</v>
      </c>
      <c r="I43" s="155">
        <v>413.12436602499997</v>
      </c>
      <c r="J43" s="273">
        <f t="shared" si="3"/>
        <v>9.4104610202088157E-3</v>
      </c>
      <c r="K43" s="9"/>
    </row>
    <row r="44" spans="2:19" s="1" customFormat="1">
      <c r="B44" s="8"/>
      <c r="C44" s="153" t="s">
        <v>5</v>
      </c>
      <c r="D44" s="128"/>
      <c r="E44" s="358">
        <v>63.765243977499992</v>
      </c>
      <c r="F44" s="359">
        <f>D15</f>
        <v>63.60762537250001</v>
      </c>
      <c r="G44" s="357">
        <f t="shared" si="2"/>
        <v>-2.4718576322800834E-3</v>
      </c>
      <c r="H44" s="233">
        <v>200.4811962775</v>
      </c>
      <c r="I44" s="155">
        <v>198.54708341750003</v>
      </c>
      <c r="J44" s="156">
        <f t="shared" si="3"/>
        <v>-9.6473529483673826E-3</v>
      </c>
      <c r="K44" s="9"/>
      <c r="Q44" s="142"/>
      <c r="R44" s="142"/>
      <c r="S44" s="142"/>
    </row>
    <row r="45" spans="2:19" s="1" customFormat="1">
      <c r="B45" s="8"/>
      <c r="C45" s="371" t="s">
        <v>64</v>
      </c>
      <c r="D45" s="372"/>
      <c r="E45" s="187">
        <f>SUM(E46:E47)</f>
        <v>173.33322948262406</v>
      </c>
      <c r="F45" s="188">
        <f>SUM(F46:F47)</f>
        <v>173.69005288142222</v>
      </c>
      <c r="G45" s="189">
        <f t="shared" si="2"/>
        <v>2.0585977649134612E-3</v>
      </c>
      <c r="H45" s="232">
        <f>SUM(H46:H47)</f>
        <v>527.7669809902809</v>
      </c>
      <c r="I45" s="188">
        <f>SUM(I46:I47)</f>
        <v>518.87022584170074</v>
      </c>
      <c r="J45" s="189">
        <f t="shared" si="3"/>
        <v>-1.6857354607305419E-2</v>
      </c>
      <c r="K45" s="9"/>
    </row>
    <row r="46" spans="2:19" s="1" customFormat="1">
      <c r="B46" s="8"/>
      <c r="C46" s="153" t="s">
        <v>66</v>
      </c>
      <c r="D46" s="128"/>
      <c r="E46" s="154">
        <v>62.825991145799051</v>
      </c>
      <c r="F46" s="155">
        <f>E12</f>
        <v>56.449267186462222</v>
      </c>
      <c r="G46" s="156">
        <f t="shared" si="2"/>
        <v>-0.10149818320475823</v>
      </c>
      <c r="H46" s="233">
        <v>189.86738035010592</v>
      </c>
      <c r="I46" s="155">
        <v>168.69907518646221</v>
      </c>
      <c r="J46" s="156">
        <f t="shared" si="3"/>
        <v>-0.1114899522214422</v>
      </c>
      <c r="K46" s="9"/>
    </row>
    <row r="47" spans="2:19" s="1" customFormat="1" ht="13.5" thickBot="1">
      <c r="B47" s="8"/>
      <c r="C47" s="157" t="s">
        <v>65</v>
      </c>
      <c r="D47" s="128"/>
      <c r="E47" s="158">
        <v>110.50723833682501</v>
      </c>
      <c r="F47" s="159">
        <f>E13</f>
        <v>117.24078569496</v>
      </c>
      <c r="G47" s="293">
        <f t="shared" si="2"/>
        <v>6.0933088723212903E-2</v>
      </c>
      <c r="H47" s="234">
        <v>337.89960064017504</v>
      </c>
      <c r="I47" s="159">
        <v>350.17115065523853</v>
      </c>
      <c r="J47" s="160">
        <f t="shared" si="3"/>
        <v>3.6317148619927853E-2</v>
      </c>
      <c r="K47" s="9"/>
    </row>
    <row r="48" spans="2:19" s="1" customFormat="1" ht="14.25" thickTop="1" thickBot="1">
      <c r="B48" s="8"/>
      <c r="C48" s="366" t="s">
        <v>108</v>
      </c>
      <c r="D48" s="367"/>
      <c r="E48" s="190">
        <f>SUM(E40,E45)</f>
        <v>4930.5136805701222</v>
      </c>
      <c r="F48" s="191">
        <f>SUM(F40,F45)</f>
        <v>5047.1047336075108</v>
      </c>
      <c r="G48" s="192">
        <f t="shared" si="2"/>
        <v>2.3646836940508509E-2</v>
      </c>
      <c r="H48" s="235">
        <f>SUM(H40,H45)</f>
        <v>14247.428151583779</v>
      </c>
      <c r="I48" s="191">
        <f>SUM(I40,I45)</f>
        <v>14692.374981375293</v>
      </c>
      <c r="J48" s="192">
        <f t="shared" si="3"/>
        <v>3.1229975337131455E-2</v>
      </c>
      <c r="K48" s="9"/>
    </row>
    <row r="49" spans="2:23" s="1" customFormat="1">
      <c r="B49" s="8"/>
      <c r="C49" s="259"/>
      <c r="D49" s="90"/>
      <c r="E49" s="91"/>
      <c r="F49" s="91"/>
      <c r="G49" s="93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3"/>
      <c r="H50" s="9"/>
      <c r="I50" s="9"/>
      <c r="J50" s="9"/>
      <c r="K50" s="9"/>
    </row>
    <row r="51" spans="2:23" s="1" customFormat="1">
      <c r="B51" s="8"/>
      <c r="C51" s="10" t="s">
        <v>119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4"/>
    </row>
    <row r="53" spans="2:23" s="1" customFormat="1" ht="13.5" thickBot="1">
      <c r="B53" s="8"/>
      <c r="C53" s="10"/>
      <c r="H53" s="9"/>
      <c r="I53" s="9"/>
      <c r="J53" s="9"/>
      <c r="K53" s="9"/>
      <c r="L53" s="254"/>
      <c r="M53" s="254"/>
    </row>
    <row r="54" spans="2:23" s="1" customFormat="1" ht="12.75" customHeight="1">
      <c r="B54" s="8"/>
      <c r="C54" s="145"/>
      <c r="D54" s="146"/>
      <c r="E54" s="376" t="s">
        <v>126</v>
      </c>
      <c r="F54" s="377"/>
      <c r="G54" s="378" t="s">
        <v>74</v>
      </c>
      <c r="H54" s="380" t="s">
        <v>127</v>
      </c>
      <c r="I54" s="381"/>
      <c r="J54" s="378" t="s">
        <v>74</v>
      </c>
      <c r="K54" s="9"/>
      <c r="L54" s="254"/>
      <c r="M54" s="254"/>
    </row>
    <row r="55" spans="2:23" s="1" customFormat="1" ht="12.75" customHeight="1">
      <c r="B55" s="8"/>
      <c r="C55" s="148" t="s">
        <v>75</v>
      </c>
      <c r="D55" s="149"/>
      <c r="E55" s="150">
        <v>2021</v>
      </c>
      <c r="F55" s="151">
        <v>2022</v>
      </c>
      <c r="G55" s="379"/>
      <c r="H55" s="231">
        <v>2021</v>
      </c>
      <c r="I55" s="151">
        <v>2022</v>
      </c>
      <c r="J55" s="379"/>
      <c r="K55" s="9"/>
      <c r="L55" s="254"/>
      <c r="M55" s="254"/>
    </row>
    <row r="56" spans="2:23" s="1" customFormat="1">
      <c r="B56" s="8"/>
      <c r="C56" s="371" t="s">
        <v>68</v>
      </c>
      <c r="D56" s="372"/>
      <c r="E56" s="187">
        <f>SUM(E57:E60)</f>
        <v>4757.1804510874981</v>
      </c>
      <c r="F56" s="188">
        <f>SUM(F57:F60)</f>
        <v>4873.4146807260886</v>
      </c>
      <c r="G56" s="189">
        <f>((F56/E56)-1)</f>
        <v>2.4433428757578257E-2</v>
      </c>
      <c r="H56" s="232">
        <f>SUM(H57:H60)</f>
        <v>13719.661170593499</v>
      </c>
      <c r="I56" s="188">
        <f>SUM(I57:I60)</f>
        <v>14173.504755533591</v>
      </c>
      <c r="J56" s="189">
        <f>((I56/H56)-1)</f>
        <v>3.3079795433494708E-2</v>
      </c>
      <c r="K56" s="9"/>
    </row>
    <row r="57" spans="2:23" s="1" customFormat="1" ht="25.5">
      <c r="B57" s="8"/>
      <c r="C57" s="369" t="s">
        <v>78</v>
      </c>
      <c r="D57" s="275" t="s">
        <v>79</v>
      </c>
      <c r="E57" s="317">
        <f>SUM(E43:E44)+24.143106965</f>
        <v>223.85499811249997</v>
      </c>
      <c r="F57" s="318">
        <f>SUM(F43:F44)+22.5358427248853</f>
        <v>222.53982034238527</v>
      </c>
      <c r="G57" s="167">
        <f t="shared" ref="G57:G65" si="4">((F57/E57)-1)</f>
        <v>-5.8751324795247584E-3</v>
      </c>
      <c r="H57" s="319">
        <f>SUM(H43:H44)+76.690866965</f>
        <v>686.44498241500014</v>
      </c>
      <c r="I57" s="318">
        <f>SUM(I43:I44)+70.3976585123853</f>
        <v>682.06910795488534</v>
      </c>
      <c r="J57" s="167">
        <f t="shared" ref="J57:J65" si="5">((I57/H57)-1)</f>
        <v>-6.3746907213451109E-3</v>
      </c>
      <c r="K57" s="9"/>
      <c r="L57" s="254"/>
      <c r="Q57" s="142"/>
      <c r="R57" s="142"/>
      <c r="T57" s="142">
        <v>2021</v>
      </c>
      <c r="U57" s="142">
        <v>2022</v>
      </c>
      <c r="V57" s="142"/>
      <c r="W57" s="142"/>
    </row>
    <row r="58" spans="2:23" s="1" customFormat="1" ht="13.5">
      <c r="B58" s="8"/>
      <c r="C58" s="370"/>
      <c r="D58" s="276" t="s">
        <v>110</v>
      </c>
      <c r="E58" s="264">
        <v>260.14170828499988</v>
      </c>
      <c r="F58" s="322">
        <v>252.97019772250056</v>
      </c>
      <c r="G58" s="274">
        <f t="shared" si="4"/>
        <v>-2.7567707653562867E-2</v>
      </c>
      <c r="H58" s="266">
        <v>740.64200978749989</v>
      </c>
      <c r="I58" s="265">
        <v>709.74612115000082</v>
      </c>
      <c r="J58" s="274">
        <f t="shared" si="5"/>
        <v>-4.1715009720233787E-2</v>
      </c>
      <c r="K58" s="9"/>
      <c r="L58" s="254"/>
      <c r="M58" s="254"/>
      <c r="Q58" s="375" t="s">
        <v>80</v>
      </c>
      <c r="R58" s="142" t="s">
        <v>66</v>
      </c>
      <c r="T58" s="143">
        <f>SUM(E60,E64)</f>
        <v>3015.0875282932975</v>
      </c>
      <c r="U58" s="143">
        <f>SUM(F60,F64)</f>
        <v>3067.9704394248065</v>
      </c>
      <c r="V58" s="144">
        <f t="shared" ref="V58:W61" si="6">T58/T$64</f>
        <v>0.61151590354063445</v>
      </c>
      <c r="W58" s="144">
        <f t="shared" si="6"/>
        <v>0.60786740148186269</v>
      </c>
    </row>
    <row r="59" spans="2:23" s="1" customFormat="1">
      <c r="B59" s="8"/>
      <c r="C59" s="368" t="s">
        <v>80</v>
      </c>
      <c r="D59" s="277" t="s">
        <v>81</v>
      </c>
      <c r="E59" s="154">
        <f>SUM(E42:E44)-E57</f>
        <v>1320.9222075425</v>
      </c>
      <c r="F59" s="155">
        <f>SUM(F42:F44)-F57</f>
        <v>1386.3834904228588</v>
      </c>
      <c r="G59" s="273">
        <f t="shared" si="4"/>
        <v>4.9557258184148356E-2</v>
      </c>
      <c r="H59" s="233">
        <f>SUM(H42:H44)-H57</f>
        <v>3485.6965396335004</v>
      </c>
      <c r="I59" s="155">
        <f>SUM(I42:I44)-I57</f>
        <v>4315.5071995078597</v>
      </c>
      <c r="J59" s="273">
        <f t="shared" si="5"/>
        <v>0.23806164720283096</v>
      </c>
      <c r="K59" s="9"/>
      <c r="Q59" s="375"/>
      <c r="R59" s="142" t="s">
        <v>65</v>
      </c>
      <c r="T59" s="143">
        <f>SUM(E59,E63)</f>
        <v>1414.5712318793251</v>
      </c>
      <c r="U59" s="143">
        <f>SUM(F59,F63)</f>
        <v>1487.8390537319715</v>
      </c>
      <c r="V59" s="144">
        <f t="shared" si="6"/>
        <v>0.28690139071184084</v>
      </c>
      <c r="W59" s="144">
        <f t="shared" si="6"/>
        <v>0.29479060417050457</v>
      </c>
    </row>
    <row r="60" spans="2:23" s="1" customFormat="1">
      <c r="B60" s="8"/>
      <c r="C60" s="368"/>
      <c r="D60" s="278" t="s">
        <v>41</v>
      </c>
      <c r="E60" s="154">
        <f>E41-E58</f>
        <v>2952.2615371474985</v>
      </c>
      <c r="F60" s="155">
        <f>F41-F58</f>
        <v>3011.5211722383442</v>
      </c>
      <c r="G60" s="156">
        <f t="shared" si="4"/>
        <v>2.0072623764933351E-2</v>
      </c>
      <c r="H60" s="233">
        <f>H41-H58</f>
        <v>8806.8776387574999</v>
      </c>
      <c r="I60" s="155">
        <f>I41-I58</f>
        <v>8466.1823269208453</v>
      </c>
      <c r="J60" s="273">
        <f t="shared" si="5"/>
        <v>-3.8685141977823689E-2</v>
      </c>
      <c r="K60" s="9"/>
      <c r="Q60" s="375" t="s">
        <v>78</v>
      </c>
      <c r="R60" s="142" t="s">
        <v>66</v>
      </c>
      <c r="T60" s="143">
        <f>E58</f>
        <v>260.14170828499988</v>
      </c>
      <c r="U60" s="143">
        <f>F58</f>
        <v>252.97019772250056</v>
      </c>
      <c r="V60" s="144">
        <f t="shared" si="6"/>
        <v>5.2761583303206516E-2</v>
      </c>
      <c r="W60" s="144">
        <f t="shared" si="6"/>
        <v>5.0121844319581908E-2</v>
      </c>
    </row>
    <row r="61" spans="2:23" s="1" customFormat="1">
      <c r="B61" s="8"/>
      <c r="C61" s="371" t="s">
        <v>64</v>
      </c>
      <c r="D61" s="372"/>
      <c r="E61" s="187">
        <f>SUM(E62:E64)</f>
        <v>173.33322948262406</v>
      </c>
      <c r="F61" s="188">
        <f>SUM(F62:F64)</f>
        <v>173.69005288142222</v>
      </c>
      <c r="G61" s="189">
        <f t="shared" si="4"/>
        <v>2.0585977649134612E-3</v>
      </c>
      <c r="H61" s="232">
        <f>SUM(H62:H64)</f>
        <v>527.7669809902809</v>
      </c>
      <c r="I61" s="188">
        <f>SUM(I62:I64)</f>
        <v>518.87022584170074</v>
      </c>
      <c r="J61" s="189">
        <f t="shared" si="5"/>
        <v>-1.6857354607305419E-2</v>
      </c>
      <c r="K61" s="9"/>
      <c r="Q61" s="375"/>
      <c r="R61" s="142" t="s">
        <v>89</v>
      </c>
      <c r="T61" s="143">
        <f>E57+E62</f>
        <v>240.71321211249997</v>
      </c>
      <c r="U61" s="143">
        <f>F57+F62</f>
        <v>238.3250427282326</v>
      </c>
      <c r="V61" s="144">
        <f t="shared" si="6"/>
        <v>4.8821122444318209E-2</v>
      </c>
      <c r="W61" s="144">
        <f t="shared" si="6"/>
        <v>4.7220150028050911E-2</v>
      </c>
    </row>
    <row r="62" spans="2:23" s="1" customFormat="1">
      <c r="B62" s="8"/>
      <c r="C62" s="305" t="s">
        <v>78</v>
      </c>
      <c r="D62" s="306" t="s">
        <v>114</v>
      </c>
      <c r="E62" s="344">
        <v>16.858214</v>
      </c>
      <c r="F62" s="320">
        <v>15.785222385847337</v>
      </c>
      <c r="G62" s="307">
        <f t="shared" si="4"/>
        <v>-6.3648000562376517E-2</v>
      </c>
      <c r="H62" s="321">
        <v>50.906970999999999</v>
      </c>
      <c r="I62" s="320">
        <v>47.166108385847345</v>
      </c>
      <c r="J62" s="307">
        <f t="shared" si="5"/>
        <v>-7.3484289885419662E-2</v>
      </c>
      <c r="K62" s="9"/>
      <c r="Q62" s="142"/>
      <c r="R62" s="142"/>
      <c r="T62" s="142"/>
      <c r="U62" s="142"/>
      <c r="V62" s="142"/>
      <c r="W62" s="142"/>
    </row>
    <row r="63" spans="2:23" s="1" customFormat="1">
      <c r="B63" s="8"/>
      <c r="C63" s="373" t="s">
        <v>80</v>
      </c>
      <c r="D63" s="277" t="s">
        <v>81</v>
      </c>
      <c r="E63" s="154">
        <f>E47-E62</f>
        <v>93.649024336825008</v>
      </c>
      <c r="F63" s="155">
        <f>F47-F62</f>
        <v>101.45556330911266</v>
      </c>
      <c r="G63" s="273">
        <f t="shared" ref="G63" si="7">((F63/E63)-1)</f>
        <v>8.3359533402185493E-2</v>
      </c>
      <c r="H63" s="233">
        <f>H47-H62</f>
        <v>286.99262964017504</v>
      </c>
      <c r="I63" s="155">
        <f>I47-I62</f>
        <v>303.0050422693912</v>
      </c>
      <c r="J63" s="273">
        <f t="shared" ref="J63" si="8">((I63/H63)-1)</f>
        <v>5.5793811322932374E-2</v>
      </c>
      <c r="K63" s="9"/>
      <c r="Q63" s="142"/>
      <c r="R63" s="142"/>
      <c r="T63" s="142"/>
      <c r="U63" s="142"/>
      <c r="V63" s="142"/>
      <c r="W63" s="142"/>
    </row>
    <row r="64" spans="2:23" s="1" customFormat="1" ht="13.5" thickBot="1">
      <c r="B64" s="8"/>
      <c r="C64" s="374"/>
      <c r="D64" s="279" t="s">
        <v>41</v>
      </c>
      <c r="E64" s="158">
        <f>E46</f>
        <v>62.825991145799051</v>
      </c>
      <c r="F64" s="159">
        <f>F46</f>
        <v>56.449267186462222</v>
      </c>
      <c r="G64" s="160">
        <f t="shared" si="4"/>
        <v>-0.10149818320475823</v>
      </c>
      <c r="H64" s="234">
        <f>H46</f>
        <v>189.86738035010592</v>
      </c>
      <c r="I64" s="159">
        <f>I46</f>
        <v>168.69907518646221</v>
      </c>
      <c r="J64" s="160">
        <f t="shared" si="5"/>
        <v>-0.1114899522214422</v>
      </c>
      <c r="K64" s="9"/>
      <c r="Q64" s="142"/>
      <c r="R64" s="142"/>
      <c r="T64" s="143">
        <f>SUM(T58:T61)</f>
        <v>4930.5136805701222</v>
      </c>
      <c r="U64" s="143">
        <f>SUM(U58:U61)</f>
        <v>5047.1047336075108</v>
      </c>
      <c r="V64" s="142"/>
      <c r="W64" s="142"/>
    </row>
    <row r="65" spans="2:22" s="1" customFormat="1" ht="14.25" thickTop="1" thickBot="1">
      <c r="B65" s="8"/>
      <c r="C65" s="366" t="s">
        <v>108</v>
      </c>
      <c r="D65" s="367"/>
      <c r="E65" s="190">
        <f>SUM(E56,E61)</f>
        <v>4930.5136805701222</v>
      </c>
      <c r="F65" s="191">
        <f>SUM(F56,F61)</f>
        <v>5047.1047336075108</v>
      </c>
      <c r="G65" s="192">
        <f t="shared" si="4"/>
        <v>2.3646836940508509E-2</v>
      </c>
      <c r="H65" s="235">
        <f>SUM(H56,H61)</f>
        <v>14247.428151583779</v>
      </c>
      <c r="I65" s="191">
        <f>SUM(I56,I61)</f>
        <v>14692.374981375293</v>
      </c>
      <c r="J65" s="192">
        <f t="shared" si="5"/>
        <v>3.1229975337131455E-2</v>
      </c>
      <c r="K65" s="9"/>
      <c r="Q65" s="142"/>
      <c r="R65" s="142"/>
      <c r="S65" s="142"/>
      <c r="T65" s="142"/>
      <c r="U65" s="142"/>
      <c r="V65" s="142"/>
    </row>
    <row r="66" spans="2:22" s="1" customFormat="1">
      <c r="B66" s="8"/>
      <c r="C66" s="259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3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44" zoomScaleNormal="100" zoomScaleSheetLayoutView="100" workbookViewId="0">
      <selection activeCell="C26" sqref="C26:I35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3320.9406371473069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1387.6619569467384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99.977204182376227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38.321065110732633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136.39635224499997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63.60762537250001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0">
        <f t="shared" si="0"/>
        <v>0.19989260285562158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5047.1047336075098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11"/>
      <c r="G23" s="258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29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7"/>
      <c r="D25" s="127"/>
      <c r="E25" s="163"/>
      <c r="F25" s="163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5" t="s">
        <v>61</v>
      </c>
      <c r="D26" s="390" t="s">
        <v>126</v>
      </c>
      <c r="E26" s="390"/>
      <c r="F26" s="386" t="s">
        <v>74</v>
      </c>
      <c r="G26" s="384" t="s">
        <v>127</v>
      </c>
      <c r="H26" s="385"/>
      <c r="I26" s="386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6"/>
      <c r="D27" s="94">
        <v>2021</v>
      </c>
      <c r="E27" s="95">
        <v>2022</v>
      </c>
      <c r="F27" s="387"/>
      <c r="G27" s="236">
        <v>2021</v>
      </c>
      <c r="H27" s="95">
        <v>2022</v>
      </c>
      <c r="I27" s="387"/>
      <c r="J27" s="20"/>
      <c r="K27" s="54"/>
      <c r="L27" s="54"/>
      <c r="M27" s="55" t="s">
        <v>85</v>
      </c>
      <c r="N27" s="70">
        <f t="shared" ref="N27:O29" si="1">D28</f>
        <v>3275.2292365782973</v>
      </c>
      <c r="O27" s="70">
        <f t="shared" si="1"/>
        <v>3320.9406371473069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4" t="s">
        <v>85</v>
      </c>
      <c r="D28" s="165">
        <f>'Resumen (G)'!E41+'Resumen (G)'!E46</f>
        <v>3275.2292365782973</v>
      </c>
      <c r="E28" s="166">
        <f>'Resumen (G)'!F41+'Resumen (G)'!F46</f>
        <v>3320.9406371473069</v>
      </c>
      <c r="F28" s="167">
        <f>+E28/D28-1</f>
        <v>1.395670265106852E-2</v>
      </c>
      <c r="G28" s="249">
        <f>'Resumen (G)'!H41+'Resumen (G)'!H46</f>
        <v>9737.3870288951057</v>
      </c>
      <c r="H28" s="166">
        <f>'Resumen (G)'!I41+'Resumen (G)'!I46</f>
        <v>9344.627523257308</v>
      </c>
      <c r="I28" s="167">
        <f>+H28/G28-1</f>
        <v>-4.0335205376176186E-2</v>
      </c>
      <c r="J28" s="294"/>
      <c r="K28" s="54"/>
      <c r="L28" s="54"/>
      <c r="M28" s="55" t="s">
        <v>2</v>
      </c>
      <c r="N28" s="70">
        <f t="shared" si="1"/>
        <v>1331.4624904957002</v>
      </c>
      <c r="O28" s="70">
        <f t="shared" si="1"/>
        <v>1387.6619569467384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8" t="s">
        <v>2</v>
      </c>
      <c r="D29" s="169">
        <v>1331.4624904957002</v>
      </c>
      <c r="E29" s="170">
        <v>1387.6619569467384</v>
      </c>
      <c r="F29" s="171">
        <f t="shared" ref="F29:F35" si="2">+E29/D29-1</f>
        <v>4.2208824395883138E-2</v>
      </c>
      <c r="G29" s="250">
        <v>3538.6843853852006</v>
      </c>
      <c r="H29" s="170">
        <v>4303.5328625717384</v>
      </c>
      <c r="I29" s="171">
        <f t="shared" ref="I29:I35" si="3">+H29/G29-1</f>
        <v>0.2161392183901365</v>
      </c>
      <c r="J29" s="256"/>
      <c r="K29" s="257"/>
      <c r="L29" s="54"/>
      <c r="M29" s="55" t="s">
        <v>84</v>
      </c>
      <c r="N29" s="70">
        <f t="shared" si="1"/>
        <v>82.887341383624516</v>
      </c>
      <c r="O29" s="70">
        <f t="shared" si="1"/>
        <v>99.977204182376227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8" t="s">
        <v>3</v>
      </c>
      <c r="D30" s="169">
        <f>'Resumen (G)'!E32-SUM('TipoRecurso (G)'!D28:D29,'TipoRecurso (G)'!D31:D34)</f>
        <v>82.887341383624516</v>
      </c>
      <c r="E30" s="170">
        <f>'Resumen (G)'!F32-SUM('TipoRecurso (G)'!E28:E29,'TipoRecurso (G)'!E31:E34)</f>
        <v>99.977204182376227</v>
      </c>
      <c r="F30" s="171">
        <f t="shared" si="2"/>
        <v>0.20618181876114594</v>
      </c>
      <c r="G30" s="250">
        <f>'Resumen (G)'!H32-SUM('TipoRecurso (G)'!G28:G29,'TipoRecurso (G)'!G31:G34)</f>
        <v>233.3243348884771</v>
      </c>
      <c r="H30" s="170">
        <f>'Resumen (G)'!I32-SUM('TipoRecurso (G)'!H28:H29,'TipoRecurso (G)'!H31:H34)</f>
        <v>314.38148660265506</v>
      </c>
      <c r="I30" s="171">
        <f t="shared" si="3"/>
        <v>0.34740119050557317</v>
      </c>
      <c r="J30" s="294"/>
      <c r="K30" s="54"/>
      <c r="L30" s="54"/>
      <c r="M30" s="55" t="s">
        <v>4</v>
      </c>
      <c r="N30" s="98">
        <f>D34</f>
        <v>0.22140000000000001</v>
      </c>
      <c r="O30" s="98">
        <f>E34</f>
        <v>0.19989260285562158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8" t="s">
        <v>6</v>
      </c>
      <c r="D31" s="169">
        <f>'Resumen (G)'!E57+'Resumen (G)'!E62-SUM('TipoRecurso (G)'!D32:D33)</f>
        <v>41.001320965000019</v>
      </c>
      <c r="E31" s="170">
        <f>'Resumen (G)'!F57+'Resumen (G)'!F62-SUM('TipoRecurso (G)'!E32:E33)</f>
        <v>38.321065110732633</v>
      </c>
      <c r="F31" s="171">
        <f t="shared" si="2"/>
        <v>-6.5369987873203805E-2</v>
      </c>
      <c r="G31" s="250">
        <f>'Resumen (G)'!H57+'Resumen (G)'!H62-SUM('TipoRecurso (G)'!G32:G33)</f>
        <v>127.59783796500005</v>
      </c>
      <c r="H31" s="170">
        <f>'Resumen (G)'!I57+'Resumen (G)'!I62-SUM('TipoRecurso (G)'!H32:H33)</f>
        <v>117.56376689823264</v>
      </c>
      <c r="I31" s="171">
        <f t="shared" si="3"/>
        <v>-7.8638253020554716E-2</v>
      </c>
      <c r="J31" s="20"/>
      <c r="K31" s="54"/>
      <c r="L31" s="54"/>
      <c r="M31" s="55" t="s">
        <v>90</v>
      </c>
      <c r="N31" s="70">
        <f t="shared" ref="N31:O33" si="4">D31</f>
        <v>41.001320965000019</v>
      </c>
      <c r="O31" s="70">
        <f t="shared" si="4"/>
        <v>38.321065110732633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8" t="s">
        <v>14</v>
      </c>
      <c r="D32" s="363">
        <f>'Resumen (G)'!E43</f>
        <v>135.94664716999998</v>
      </c>
      <c r="E32" s="364">
        <f>'Resumen (G)'!F43</f>
        <v>136.39635224499997</v>
      </c>
      <c r="F32" s="365">
        <f t="shared" si="2"/>
        <v>3.3079526737989084E-3</v>
      </c>
      <c r="G32" s="250">
        <f>'Resumen (G)'!H43</f>
        <v>409.27291917250005</v>
      </c>
      <c r="H32" s="170">
        <f>'Resumen (G)'!I43</f>
        <v>413.12436602499997</v>
      </c>
      <c r="I32" s="171">
        <f t="shared" si="3"/>
        <v>9.4104610202088157E-3</v>
      </c>
      <c r="J32" s="20"/>
      <c r="K32" s="54"/>
      <c r="L32" s="54"/>
      <c r="M32" s="55" t="s">
        <v>14</v>
      </c>
      <c r="N32" s="70">
        <f t="shared" si="4"/>
        <v>135.94664716999998</v>
      </c>
      <c r="O32" s="70">
        <f t="shared" si="4"/>
        <v>136.39635224499997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8" t="s">
        <v>5</v>
      </c>
      <c r="D33" s="363">
        <f>'Resumen (G)'!E44</f>
        <v>63.765243977499992</v>
      </c>
      <c r="E33" s="364">
        <f>'Resumen (G)'!F44</f>
        <v>63.60762537250001</v>
      </c>
      <c r="F33" s="365">
        <f t="shared" si="2"/>
        <v>-2.4718576322800834E-3</v>
      </c>
      <c r="G33" s="250">
        <f>'Resumen (G)'!H44</f>
        <v>200.4811962775</v>
      </c>
      <c r="H33" s="170">
        <f>'Resumen (G)'!I44</f>
        <v>198.54708341750003</v>
      </c>
      <c r="I33" s="171">
        <f t="shared" si="3"/>
        <v>-9.6473529483673826E-3</v>
      </c>
      <c r="J33" s="20"/>
      <c r="K33" s="54"/>
      <c r="L33" s="54"/>
      <c r="M33" s="55" t="s">
        <v>5</v>
      </c>
      <c r="N33" s="70">
        <f t="shared" si="4"/>
        <v>63.765243977499992</v>
      </c>
      <c r="O33" s="70">
        <f t="shared" si="4"/>
        <v>63.60762537250001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2" t="s">
        <v>4</v>
      </c>
      <c r="D34" s="360">
        <v>0.22140000000000001</v>
      </c>
      <c r="E34" s="345">
        <v>0.19989260285562158</v>
      </c>
      <c r="F34" s="173">
        <f t="shared" si="2"/>
        <v>-9.7142715195927876E-2</v>
      </c>
      <c r="G34" s="361">
        <v>0.68044899999999997</v>
      </c>
      <c r="H34" s="362">
        <v>0.59789260285562162</v>
      </c>
      <c r="I34" s="173">
        <f t="shared" si="3"/>
        <v>-0.12132635531006486</v>
      </c>
      <c r="J34" s="20"/>
      <c r="K34" s="54"/>
      <c r="L34" s="54"/>
      <c r="M34" s="96"/>
      <c r="N34" s="97">
        <f>SUM(N27:N33)</f>
        <v>4930.5136805701222</v>
      </c>
      <c r="O34" s="97">
        <f>SUM(O27:O33)</f>
        <v>5047.1047336075098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7" t="s">
        <v>108</v>
      </c>
      <c r="D35" s="298">
        <f>SUM(D28:D34)</f>
        <v>4930.5136805701222</v>
      </c>
      <c r="E35" s="299">
        <f>SUM(E28:E34)</f>
        <v>5047.1047336075098</v>
      </c>
      <c r="F35" s="300">
        <f t="shared" si="2"/>
        <v>2.3646836940508509E-2</v>
      </c>
      <c r="G35" s="301">
        <f>SUM(G28:G34)</f>
        <v>14247.428151583783</v>
      </c>
      <c r="H35" s="299">
        <f>SUM(H28:H34)</f>
        <v>14692.374981375291</v>
      </c>
      <c r="I35" s="302">
        <f t="shared" si="3"/>
        <v>3.1229975337131011E-2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4"/>
      <c r="D36" s="174"/>
      <c r="E36" s="175"/>
      <c r="F36" s="176"/>
      <c r="G36" s="17"/>
      <c r="H36" s="17"/>
      <c r="I36" s="18"/>
      <c r="J36" s="20"/>
      <c r="K36" s="54"/>
      <c r="L36" s="54"/>
      <c r="M36" s="55"/>
      <c r="N36" s="97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0.66427748684384103</v>
      </c>
      <c r="N40" s="227">
        <f t="shared" si="5"/>
        <v>0.65798924580144469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0.27004539014720702</v>
      </c>
      <c r="N41" s="227">
        <f t="shared" si="5"/>
        <v>0.27494217579964542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1.6811096521293929E-2</v>
      </c>
      <c r="N42" s="227">
        <f t="shared" si="5"/>
        <v>1.9808822970653058E-2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4.4904043339841057E-5</v>
      </c>
      <c r="N43" s="227">
        <f t="shared" si="5"/>
        <v>3.9605400205900759E-5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8.3158314977556207E-3</v>
      </c>
      <c r="N44" s="227">
        <f t="shared" si="5"/>
        <v>7.5926827623689821E-3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2.7572511907984459E-2</v>
      </c>
      <c r="N45" s="227">
        <f t="shared" si="5"/>
        <v>2.7024672449685466E-2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1.2932779038578132E-2</v>
      </c>
      <c r="N46" s="227">
        <f t="shared" si="5"/>
        <v>1.2602794815996477E-2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1</v>
      </c>
      <c r="N49" s="228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8" t="s">
        <v>91</v>
      </c>
      <c r="D53" s="390" t="s">
        <v>126</v>
      </c>
      <c r="E53" s="390"/>
      <c r="F53" s="386" t="s">
        <v>74</v>
      </c>
      <c r="G53" s="384" t="s">
        <v>127</v>
      </c>
      <c r="H53" s="385"/>
      <c r="I53" s="386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9"/>
      <c r="D54" s="94">
        <v>2021</v>
      </c>
      <c r="E54" s="95">
        <v>2022</v>
      </c>
      <c r="F54" s="387"/>
      <c r="G54" s="236">
        <v>2021</v>
      </c>
      <c r="H54" s="95">
        <v>2022</v>
      </c>
      <c r="I54" s="387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4" t="s">
        <v>42</v>
      </c>
      <c r="D55" s="285">
        <f>SUM(D28:D30,D34)</f>
        <v>4689.8004684576226</v>
      </c>
      <c r="E55" s="286">
        <f>SUM(E28:E30,E34)</f>
        <v>4808.779690879277</v>
      </c>
      <c r="F55" s="287">
        <f>+E55/D55-1</f>
        <v>2.5369783474132435E-2</v>
      </c>
      <c r="G55" s="288">
        <f>SUM(G28:G30,G34)</f>
        <v>13510.076198168783</v>
      </c>
      <c r="H55" s="286">
        <f>SUM(H28:H30,H34)</f>
        <v>13963.139765034559</v>
      </c>
      <c r="I55" s="287">
        <f>+H55/G55-1</f>
        <v>3.3535234014978155E-2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9" t="s">
        <v>104</v>
      </c>
      <c r="D56" s="351">
        <f>SUM(D31:D33)</f>
        <v>240.7132121125</v>
      </c>
      <c r="E56" s="290">
        <f>SUM(E31:E33)</f>
        <v>238.32504272823263</v>
      </c>
      <c r="F56" s="354">
        <f>+E56/D56-1</f>
        <v>-9.9212227002780651E-3</v>
      </c>
      <c r="G56" s="353">
        <f>SUM(G31:G33)</f>
        <v>737.35195341500003</v>
      </c>
      <c r="H56" s="348">
        <f>SUM(H31:H33)</f>
        <v>729.23521634073268</v>
      </c>
      <c r="I56" s="352">
        <f>+H56/G56-1</f>
        <v>-1.1007954934784125E-2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1" t="s">
        <v>71</v>
      </c>
      <c r="D57" s="99">
        <f>SUM(D55:D56)</f>
        <v>4930.5136805701222</v>
      </c>
      <c r="E57" s="100">
        <f>SUM(E55:E56)</f>
        <v>5047.1047336075098</v>
      </c>
      <c r="F57" s="101">
        <f>+E57/D57-1</f>
        <v>2.3646836940508509E-2</v>
      </c>
      <c r="G57" s="251">
        <f>SUM(G55:G56)</f>
        <v>14247.428151583783</v>
      </c>
      <c r="H57" s="100">
        <f>SUM(H55:H56)</f>
        <v>14692.374981375291</v>
      </c>
      <c r="I57" s="101">
        <f>+H57/G57-1</f>
        <v>3.1229975337131011E-2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2">
        <f>+D56/D57</f>
        <v>4.8821122444318216E-2</v>
      </c>
      <c r="E58" s="103">
        <f>+E56/E57</f>
        <v>4.7220150028050932E-2</v>
      </c>
      <c r="F58" s="104"/>
      <c r="G58" s="252">
        <f>+G56/G57</f>
        <v>5.1753337203741853E-2</v>
      </c>
      <c r="H58" s="103">
        <f>+H56/H57</f>
        <v>4.9633583220217541E-2</v>
      </c>
      <c r="I58" s="104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0" t="s">
        <v>105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4689.8004684576226</v>
      </c>
      <c r="N63" s="76">
        <f>E55</f>
        <v>4808.779690879277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240.7132121125</v>
      </c>
      <c r="N64" s="76">
        <f>E56</f>
        <v>238.32504272823263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0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115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2"/>
      <c r="D76" s="390" t="s">
        <v>126</v>
      </c>
      <c r="E76" s="390"/>
      <c r="F76" s="105" t="s">
        <v>74</v>
      </c>
      <c r="G76" s="384" t="s">
        <v>127</v>
      </c>
      <c r="H76" s="385"/>
      <c r="I76" s="225" t="s">
        <v>74</v>
      </c>
      <c r="J76" s="19"/>
      <c r="K76" s="57"/>
      <c r="L76" s="57"/>
      <c r="M76" s="55" t="s">
        <v>96</v>
      </c>
      <c r="N76" s="70">
        <f>D78</f>
        <v>0.67748770000000014</v>
      </c>
      <c r="O76" s="70">
        <f>E78</f>
        <v>12.217543175000001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349" t="s">
        <v>95</v>
      </c>
      <c r="D77" s="350">
        <v>2021</v>
      </c>
      <c r="E77" s="95">
        <v>2022</v>
      </c>
      <c r="F77" s="106"/>
      <c r="G77" s="340">
        <v>2021</v>
      </c>
      <c r="H77" s="95">
        <v>2022</v>
      </c>
      <c r="I77" s="226"/>
      <c r="J77" s="19"/>
      <c r="K77" s="57"/>
      <c r="L77" s="57"/>
      <c r="M77" s="55" t="s">
        <v>97</v>
      </c>
      <c r="N77" s="70">
        <f>D79</f>
        <v>4756.5029633874983</v>
      </c>
      <c r="O77" s="70">
        <f>E79</f>
        <v>4861.1971375510884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3" t="s">
        <v>96</v>
      </c>
      <c r="D78" s="154">
        <v>0.67748770000000014</v>
      </c>
      <c r="E78" s="347">
        <v>12.217543175000001</v>
      </c>
      <c r="F78" s="156">
        <f>((E78/D78)-1)</f>
        <v>17.03360145874235</v>
      </c>
      <c r="G78" s="233">
        <v>3.2340662624999998</v>
      </c>
      <c r="H78" s="347">
        <v>70.241378617500004</v>
      </c>
      <c r="I78" s="156">
        <f>((H78/G78)-1)</f>
        <v>20.719214424259189</v>
      </c>
      <c r="J78" s="19"/>
      <c r="K78" s="255"/>
      <c r="L78" s="57"/>
    </row>
    <row r="79" spans="2:28" ht="16.5" customHeight="1" thickBot="1">
      <c r="C79" s="291" t="s">
        <v>97</v>
      </c>
      <c r="D79" s="158">
        <f>'Resumen (G)'!E40-D78</f>
        <v>4756.5029633874983</v>
      </c>
      <c r="E79" s="323">
        <f>'Resumen (G)'!F40-E78</f>
        <v>4861.1971375510884</v>
      </c>
      <c r="F79" s="160">
        <f>((E79/D79)-1)</f>
        <v>2.2010745072474247E-2</v>
      </c>
      <c r="G79" s="234">
        <f>'Resumen (G)'!H40-G78</f>
        <v>13716.427104331</v>
      </c>
      <c r="H79" s="323">
        <f>'Resumen (G)'!I40-H78</f>
        <v>14103.263376916091</v>
      </c>
      <c r="I79" s="160">
        <f>((H79/G79)-1)</f>
        <v>2.8202407933400231E-2</v>
      </c>
      <c r="J79" s="19"/>
      <c r="K79" s="57"/>
      <c r="L79" s="57"/>
      <c r="M79" s="70"/>
      <c r="N79" s="70"/>
      <c r="O79" s="70"/>
    </row>
    <row r="80" spans="2:28" ht="14.25" thickTop="1" thickBot="1">
      <c r="C80" s="125" t="s">
        <v>94</v>
      </c>
      <c r="D80" s="229">
        <f>SUM(D78:D79)</f>
        <v>4757.1804510874981</v>
      </c>
      <c r="E80" s="324">
        <f>SUM(E78:E79)</f>
        <v>4873.4146807260886</v>
      </c>
      <c r="F80" s="126"/>
      <c r="G80" s="253">
        <f>SUM(G78:G79)</f>
        <v>13719.661170593499</v>
      </c>
      <c r="H80" s="324">
        <f>SUM(H78:H79)</f>
        <v>14173.504755533591</v>
      </c>
      <c r="I80" s="126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topLeftCell="A22" zoomScale="90" zoomScaleNormal="100" zoomScaleSheetLayoutView="90" workbookViewId="0">
      <selection activeCell="H48" sqref="H48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5" t="s">
        <v>44</v>
      </c>
      <c r="D8" s="398" t="s">
        <v>126</v>
      </c>
      <c r="E8" s="399"/>
      <c r="F8" s="386" t="s">
        <v>74</v>
      </c>
      <c r="G8" s="384" t="s">
        <v>127</v>
      </c>
      <c r="H8" s="385"/>
      <c r="I8" s="386" t="s">
        <v>74</v>
      </c>
      <c r="J8" s="26"/>
    </row>
    <row r="9" spans="2:13" s="1" customFormat="1" ht="13.5" customHeight="1">
      <c r="B9" s="19"/>
      <c r="C9" s="206"/>
      <c r="D9" s="109">
        <v>2021</v>
      </c>
      <c r="E9" s="95">
        <v>2022</v>
      </c>
      <c r="F9" s="387"/>
      <c r="G9" s="340">
        <v>2021</v>
      </c>
      <c r="H9" s="95">
        <v>2022</v>
      </c>
      <c r="I9" s="387"/>
      <c r="J9" s="26"/>
    </row>
    <row r="10" spans="2:13">
      <c r="C10" s="193" t="s">
        <v>10</v>
      </c>
      <c r="D10" s="194">
        <f>'Por Región (G)'!O8</f>
        <v>316.87764173263929</v>
      </c>
      <c r="E10" s="195">
        <f>'Por Región (G)'!P8</f>
        <v>345.34579802013928</v>
      </c>
      <c r="F10" s="196">
        <f>+E10/D10-1</f>
        <v>8.9839586446807562E-2</v>
      </c>
      <c r="G10" s="335">
        <f>'Por Región (G)'!Q8</f>
        <v>935.73211600941784</v>
      </c>
      <c r="H10" s="195">
        <f>'Por Región (G)'!R8</f>
        <v>985.7344004354178</v>
      </c>
      <c r="I10" s="196">
        <f>+H10/G10-1</f>
        <v>5.343653762707512E-2</v>
      </c>
      <c r="J10" s="26"/>
      <c r="L10" s="142" t="s">
        <v>9</v>
      </c>
      <c r="M10" s="230">
        <f>E11</f>
        <v>4051.0501577223727</v>
      </c>
    </row>
    <row r="11" spans="2:13">
      <c r="C11" s="197" t="s">
        <v>9</v>
      </c>
      <c r="D11" s="198">
        <f>'Por Región (G)'!O9</f>
        <v>3925.6785788304842</v>
      </c>
      <c r="E11" s="199">
        <f>'Por Región (G)'!P9</f>
        <v>4051.0501577223727</v>
      </c>
      <c r="F11" s="200">
        <f>+E11/D11-1</f>
        <v>3.1936282192832621E-2</v>
      </c>
      <c r="G11" s="336">
        <f>'Por Región (G)'!Q9</f>
        <v>11286.937629071164</v>
      </c>
      <c r="H11" s="199">
        <f>'Por Región (G)'!R9</f>
        <v>11748.189202839872</v>
      </c>
      <c r="I11" s="200">
        <f>+H11/G11-1</f>
        <v>4.0865962843693593E-2</v>
      </c>
      <c r="J11" s="26"/>
      <c r="L11" s="142" t="s">
        <v>12</v>
      </c>
      <c r="M11" s="230">
        <f>E12</f>
        <v>616.14772063166663</v>
      </c>
    </row>
    <row r="12" spans="2:13">
      <c r="C12" s="197" t="s">
        <v>12</v>
      </c>
      <c r="D12" s="198">
        <f>'Por Región (G)'!O10</f>
        <v>654.09971141766664</v>
      </c>
      <c r="E12" s="199">
        <f>'Por Región (G)'!P10</f>
        <v>616.14772063166663</v>
      </c>
      <c r="F12" s="200">
        <f>+E12/D12-1</f>
        <v>-5.8021720730841664E-2</v>
      </c>
      <c r="G12" s="336">
        <f>'Por Región (G)'!Q10</f>
        <v>1924.8855126871999</v>
      </c>
      <c r="H12" s="199">
        <f>'Por Región (G)'!R10</f>
        <v>1854.7682063999998</v>
      </c>
      <c r="I12" s="200">
        <f>+H12/G12-1</f>
        <v>-3.6426741136055485E-2</v>
      </c>
      <c r="J12" s="26"/>
      <c r="L12" s="142" t="s">
        <v>10</v>
      </c>
      <c r="M12" s="230">
        <f>E10</f>
        <v>345.34579802013928</v>
      </c>
    </row>
    <row r="13" spans="2:13">
      <c r="C13" s="201" t="s">
        <v>11</v>
      </c>
      <c r="D13" s="202">
        <f>'Por Región (G)'!O11</f>
        <v>33.857748589333333</v>
      </c>
      <c r="E13" s="203">
        <f>'Por Región (G)'!P11</f>
        <v>34.561057233333329</v>
      </c>
      <c r="F13" s="204">
        <f>+E13/D13-1</f>
        <v>2.0772457511293752E-2</v>
      </c>
      <c r="G13" s="337">
        <f>'Por Región (G)'!Q11</f>
        <v>99.872893816000015</v>
      </c>
      <c r="H13" s="203">
        <f>'Por Región (G)'!R11</f>
        <v>103.68317169999997</v>
      </c>
      <c r="I13" s="204">
        <f>+H13/G13-1</f>
        <v>3.8151271465306724E-2</v>
      </c>
      <c r="J13" s="26"/>
      <c r="L13" s="142" t="s">
        <v>11</v>
      </c>
      <c r="M13" s="230">
        <f>E13</f>
        <v>34.561057233333329</v>
      </c>
    </row>
    <row r="14" spans="2:13" ht="13.5" thickBot="1">
      <c r="C14" s="207" t="s">
        <v>108</v>
      </c>
      <c r="D14" s="208">
        <f>SUM(D10:D13)</f>
        <v>4930.5136805701222</v>
      </c>
      <c r="E14" s="209">
        <f>SUM(E10:E13)</f>
        <v>5047.1047336075126</v>
      </c>
      <c r="F14" s="210">
        <f>+E14/D14-1</f>
        <v>2.3646836940508953E-2</v>
      </c>
      <c r="G14" s="338">
        <f>SUM(G10:G13)</f>
        <v>14247.428151583783</v>
      </c>
      <c r="H14" s="209">
        <f>SUM(H10:H13)</f>
        <v>14692.374981375291</v>
      </c>
      <c r="I14" s="210">
        <f>+H14/G14-1</f>
        <v>3.1229975337131011E-2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5" t="s">
        <v>93</v>
      </c>
      <c r="D18" s="395"/>
      <c r="E18" s="395"/>
      <c r="F18" s="395"/>
      <c r="G18" s="396" t="s">
        <v>107</v>
      </c>
      <c r="H18" s="397"/>
      <c r="I18" s="397"/>
      <c r="J18" s="397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0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11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1" t="s">
        <v>13</v>
      </c>
      <c r="D54" s="393" t="s">
        <v>131</v>
      </c>
      <c r="E54" s="394"/>
      <c r="F54" s="394"/>
      <c r="G54" s="394"/>
      <c r="H54" s="394"/>
      <c r="I54" s="19"/>
      <c r="J54" s="19"/>
    </row>
    <row r="55" spans="3:13">
      <c r="C55" s="392"/>
      <c r="D55" s="112" t="s">
        <v>14</v>
      </c>
      <c r="E55" s="113" t="s">
        <v>15</v>
      </c>
      <c r="F55" s="113" t="s">
        <v>5</v>
      </c>
      <c r="G55" s="113" t="s">
        <v>16</v>
      </c>
      <c r="H55" s="113" t="s">
        <v>71</v>
      </c>
      <c r="I55" s="19"/>
      <c r="J55" s="19"/>
    </row>
    <row r="56" spans="3:13">
      <c r="C56" s="212" t="s">
        <v>10</v>
      </c>
      <c r="D56" s="331">
        <f>'Resumen (G)'!F14-'PorZona (G)'!D58</f>
        <v>73.459708154999959</v>
      </c>
      <c r="E56" s="216">
        <v>184.64686228722942</v>
      </c>
      <c r="F56" s="216">
        <v>0</v>
      </c>
      <c r="G56" s="216">
        <v>87.239227577909901</v>
      </c>
      <c r="H56" s="216">
        <f>SUM(D56:G56)</f>
        <v>345.34579802013928</v>
      </c>
      <c r="I56" s="326"/>
      <c r="K56" s="303"/>
      <c r="L56" s="316"/>
      <c r="M56" s="316"/>
    </row>
    <row r="57" spans="3:13">
      <c r="C57" s="213" t="s">
        <v>9</v>
      </c>
      <c r="D57" s="332">
        <v>0</v>
      </c>
      <c r="E57" s="217">
        <v>2693.2560424618928</v>
      </c>
      <c r="F57" s="333">
        <v>6.4619999999999999E-3</v>
      </c>
      <c r="G57" s="217">
        <v>1357.7876532604801</v>
      </c>
      <c r="H57" s="217">
        <f>SUM(D57:G57)</f>
        <v>4051.0501577223727</v>
      </c>
      <c r="I57" s="326"/>
      <c r="K57" s="303"/>
      <c r="L57" s="316"/>
      <c r="M57" s="316"/>
    </row>
    <row r="58" spans="3:13">
      <c r="C58" s="213" t="s">
        <v>12</v>
      </c>
      <c r="D58" s="332">
        <v>62.936644090000016</v>
      </c>
      <c r="E58" s="217">
        <v>437.68050586642306</v>
      </c>
      <c r="F58" s="217">
        <f>'Resumen (G)'!D15</f>
        <v>63.60762537250001</v>
      </c>
      <c r="G58" s="217">
        <v>51.922945302743528</v>
      </c>
      <c r="H58" s="217">
        <f>SUM(D58:G58)</f>
        <v>616.14772063166663</v>
      </c>
      <c r="I58" s="326"/>
      <c r="K58" s="303"/>
      <c r="L58" s="316"/>
      <c r="M58" s="316"/>
    </row>
    <row r="59" spans="3:13">
      <c r="C59" s="214" t="s">
        <v>11</v>
      </c>
      <c r="D59" s="334">
        <v>0</v>
      </c>
      <c r="E59" s="218">
        <v>0</v>
      </c>
      <c r="F59" s="218">
        <v>0</v>
      </c>
      <c r="G59" s="218">
        <f>E13</f>
        <v>34.561057233333329</v>
      </c>
      <c r="H59" s="218">
        <f>SUM(D59:G59)</f>
        <v>34.561057233333329</v>
      </c>
      <c r="I59" s="326"/>
      <c r="K59" s="19"/>
      <c r="L59" s="316"/>
      <c r="M59" s="316"/>
    </row>
    <row r="60" spans="3:13" ht="13.5" thickBot="1">
      <c r="C60" s="114" t="s">
        <v>108</v>
      </c>
      <c r="D60" s="219">
        <f>SUM(D56:D59)</f>
        <v>136.39635224499997</v>
      </c>
      <c r="E60" s="220">
        <f>SUM(E56:E59)</f>
        <v>3315.5834106155453</v>
      </c>
      <c r="F60" s="220">
        <f>SUM(F56:F59)</f>
        <v>63.614087372500009</v>
      </c>
      <c r="G60" s="220">
        <f>SUM(G56:G59)</f>
        <v>1531.5108833744666</v>
      </c>
      <c r="H60" s="220">
        <f>SUM(H56:H59)</f>
        <v>5047.1047336075126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29"/>
      <c r="H64" s="121"/>
    </row>
    <row r="65" spans="5:5">
      <c r="E65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90" zoomScaleNormal="100" zoomScaleSheetLayoutView="9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7" t="s">
        <v>60</v>
      </c>
      <c r="D6" s="398" t="s">
        <v>126</v>
      </c>
      <c r="E6" s="399"/>
      <c r="F6" s="386" t="s">
        <v>74</v>
      </c>
      <c r="G6" s="384" t="s">
        <v>127</v>
      </c>
      <c r="H6" s="385"/>
      <c r="I6" s="386" t="s">
        <v>74</v>
      </c>
      <c r="O6" s="47"/>
      <c r="P6" s="86"/>
      <c r="Q6" s="400" t="s">
        <v>116</v>
      </c>
      <c r="R6" s="400"/>
    </row>
    <row r="7" spans="3:19" ht="12.75" customHeight="1">
      <c r="C7" s="108"/>
      <c r="D7" s="109">
        <v>2021</v>
      </c>
      <c r="E7" s="95">
        <v>2022</v>
      </c>
      <c r="F7" s="387"/>
      <c r="G7" s="236">
        <v>2021</v>
      </c>
      <c r="H7" s="95">
        <v>2022</v>
      </c>
      <c r="I7" s="387"/>
      <c r="N7" s="54"/>
      <c r="O7" s="313">
        <v>2021</v>
      </c>
      <c r="P7" s="315">
        <v>2022</v>
      </c>
      <c r="Q7" s="54">
        <v>2020</v>
      </c>
      <c r="R7" s="54">
        <v>2021</v>
      </c>
    </row>
    <row r="8" spans="3:19" ht="20.100000000000001" customHeight="1">
      <c r="C8" s="116" t="s">
        <v>17</v>
      </c>
      <c r="D8" s="401">
        <v>3.7254239999999998</v>
      </c>
      <c r="E8" s="402">
        <v>4.4553259999999995</v>
      </c>
      <c r="F8" s="222">
        <f>+E8/D8-1</f>
        <v>0.19592454442769447</v>
      </c>
      <c r="G8" s="355">
        <v>9.8446960000000008</v>
      </c>
      <c r="H8" s="346">
        <v>13.365977999999998</v>
      </c>
      <c r="I8" s="222">
        <f>+H8/G8-1</f>
        <v>0.35768316258826038</v>
      </c>
      <c r="J8" s="26"/>
      <c r="K8" s="46"/>
      <c r="L8" s="46"/>
      <c r="N8" s="57" t="s">
        <v>10</v>
      </c>
      <c r="O8" s="71">
        <f>SUM(D8,D13,D20,D21,D27,D29,D31)</f>
        <v>316.87764173263929</v>
      </c>
      <c r="P8" s="71">
        <f t="shared" ref="P8" si="0">SUM(E8,E13,E20,E21,E27,E29,E31)</f>
        <v>345.34579802013928</v>
      </c>
      <c r="Q8" s="71">
        <f>SUM(G8,G13,G20,G21,G27,G29,G31)</f>
        <v>935.73211600941784</v>
      </c>
      <c r="R8" s="71">
        <f>SUM(H8,H13,H20,H21,H27,H29,H31)</f>
        <v>985.7344004354178</v>
      </c>
    </row>
    <row r="9" spans="3:19" ht="20.100000000000001" customHeight="1">
      <c r="C9" s="117" t="s">
        <v>18</v>
      </c>
      <c r="D9" s="221">
        <v>283.53395354250011</v>
      </c>
      <c r="E9" s="281">
        <v>277.18670903999981</v>
      </c>
      <c r="F9" s="223">
        <f t="shared" ref="F9:F32" si="1">+E9/D9-1</f>
        <v>-2.2386188402472529E-2</v>
      </c>
      <c r="G9" s="237">
        <v>787.23284415700027</v>
      </c>
      <c r="H9" s="281">
        <v>767.3485183224999</v>
      </c>
      <c r="I9" s="292">
        <f t="shared" ref="I9:I32" si="2">+H9/G9-1</f>
        <v>-2.5258506402630165E-2</v>
      </c>
      <c r="J9" s="26"/>
      <c r="K9" s="46"/>
      <c r="L9" s="46"/>
      <c r="N9" s="57" t="s">
        <v>9</v>
      </c>
      <c r="O9" s="313">
        <f>SUM(D9,D14,D16,D17,D19,D22,D26,D32)</f>
        <v>3925.6785788304842</v>
      </c>
      <c r="P9" s="313">
        <f>SUM(E9,E14,E16,E17,E19,E22,E26,E32)</f>
        <v>4051.0501577223727</v>
      </c>
      <c r="Q9" s="313">
        <f>SUM(G9,G14,G16,G17,G19,G22,G26,G32)</f>
        <v>11286.937629071164</v>
      </c>
      <c r="R9" s="313">
        <f>SUM(H9,H14,H16,H17,H19,H22,H26,H32)</f>
        <v>11748.189202839872</v>
      </c>
    </row>
    <row r="10" spans="3:19" ht="20.100000000000001" customHeight="1">
      <c r="C10" s="118" t="s">
        <v>19</v>
      </c>
      <c r="D10" s="342">
        <v>4.953138</v>
      </c>
      <c r="E10" s="308">
        <v>4.4937569999999996</v>
      </c>
      <c r="F10" s="223">
        <f t="shared" si="1"/>
        <v>-9.2745447431507144E-2</v>
      </c>
      <c r="G10" s="237">
        <v>13.416719000000001</v>
      </c>
      <c r="H10" s="281">
        <v>13.481271</v>
      </c>
      <c r="I10" s="223">
        <f t="shared" si="2"/>
        <v>4.8113104254474681E-3</v>
      </c>
      <c r="J10" s="26"/>
      <c r="K10" s="46"/>
      <c r="L10" s="46"/>
      <c r="N10" s="54" t="s">
        <v>12</v>
      </c>
      <c r="O10" s="313">
        <f>SUM(D10,D11,D12,D15,D18,D24,D25,D28,D30)</f>
        <v>654.09971141766664</v>
      </c>
      <c r="P10" s="313">
        <f t="shared" ref="P10" si="3">SUM(E10,E11,E12,E15,E18,E24,E25,E28,E30)</f>
        <v>616.14772063166663</v>
      </c>
      <c r="Q10" s="313">
        <f>SUM(G10,G11,G12,G15,G18,G24,G25,G28,G30)</f>
        <v>1924.8855126871999</v>
      </c>
      <c r="R10" s="313">
        <f>SUM(H10,H11,H12,H15,H18,H24,H25,H28,H30)</f>
        <v>1854.7682063999998</v>
      </c>
    </row>
    <row r="11" spans="3:19" ht="20.100000000000001" customHeight="1">
      <c r="C11" s="117" t="s">
        <v>20</v>
      </c>
      <c r="D11" s="221">
        <v>97.788695807500005</v>
      </c>
      <c r="E11" s="281">
        <v>111.13249628500009</v>
      </c>
      <c r="F11" s="292">
        <f t="shared" si="1"/>
        <v>0.13645544985861924</v>
      </c>
      <c r="G11" s="237">
        <v>317.60754523999998</v>
      </c>
      <c r="H11" s="281">
        <v>291.86127647250004</v>
      </c>
      <c r="I11" s="223">
        <f t="shared" si="2"/>
        <v>-8.1063152161718333E-2</v>
      </c>
      <c r="J11" s="26"/>
      <c r="K11" s="46"/>
      <c r="L11" s="46"/>
      <c r="N11" s="314" t="s">
        <v>11</v>
      </c>
      <c r="O11" s="71">
        <f>D23</f>
        <v>33.857748589333333</v>
      </c>
      <c r="P11" s="71">
        <f t="shared" ref="P11" si="4">E23</f>
        <v>34.561057233333329</v>
      </c>
      <c r="Q11" s="71">
        <f>G23</f>
        <v>99.872893816000015</v>
      </c>
      <c r="R11" s="71">
        <f>H23</f>
        <v>103.68317169999997</v>
      </c>
    </row>
    <row r="12" spans="3:19" ht="20.100000000000001" customHeight="1">
      <c r="C12" s="117" t="s">
        <v>21</v>
      </c>
      <c r="D12" s="342">
        <v>1.080757</v>
      </c>
      <c r="E12" s="308">
        <v>1.0395939999999999</v>
      </c>
      <c r="F12" s="223">
        <f t="shared" si="1"/>
        <v>-3.8087192588158181E-2</v>
      </c>
      <c r="G12" s="341">
        <v>3.2129420000000004</v>
      </c>
      <c r="H12" s="308">
        <v>3.1187819999999999</v>
      </c>
      <c r="I12" s="223">
        <f t="shared" si="2"/>
        <v>-2.9306473630709928E-2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7" t="s">
        <v>22</v>
      </c>
      <c r="D13" s="221">
        <v>137.10764465249997</v>
      </c>
      <c r="E13" s="281">
        <v>141.62652614749999</v>
      </c>
      <c r="F13" s="223">
        <f t="shared" si="1"/>
        <v>3.2958639953688529E-2</v>
      </c>
      <c r="G13" s="237">
        <v>395.1699693745</v>
      </c>
      <c r="H13" s="281">
        <v>425.0714587375</v>
      </c>
      <c r="I13" s="223">
        <f t="shared" si="2"/>
        <v>7.5667413215457557E-2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7" t="s">
        <v>59</v>
      </c>
      <c r="D14" s="221">
        <v>122.19231926281078</v>
      </c>
      <c r="E14" s="281">
        <v>293.79611579166681</v>
      </c>
      <c r="F14" s="223">
        <f t="shared" si="1"/>
        <v>1.4043746576228839</v>
      </c>
      <c r="G14" s="237">
        <v>505.14800374343235</v>
      </c>
      <c r="H14" s="281">
        <v>642.24086501500005</v>
      </c>
      <c r="I14" s="223">
        <f t="shared" si="2"/>
        <v>0.27139147389603058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7" t="s">
        <v>23</v>
      </c>
      <c r="D15" s="221">
        <v>201.89930736516669</v>
      </c>
      <c r="E15" s="281">
        <v>195.08209455416662</v>
      </c>
      <c r="F15" s="223">
        <f t="shared" si="1"/>
        <v>-3.3765409599301299E-2</v>
      </c>
      <c r="G15" s="237">
        <v>586.74237353720002</v>
      </c>
      <c r="H15" s="281">
        <v>575.34283095249998</v>
      </c>
      <c r="I15" s="339">
        <f t="shared" si="2"/>
        <v>-1.9428531326240228E-2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7" t="s">
        <v>24</v>
      </c>
      <c r="D16" s="221">
        <v>897.62704020499996</v>
      </c>
      <c r="E16" s="281">
        <v>906.83118897999975</v>
      </c>
      <c r="F16" s="223">
        <f t="shared" si="1"/>
        <v>1.0253867544919082E-2</v>
      </c>
      <c r="G16" s="237">
        <v>2821.1292318850001</v>
      </c>
      <c r="H16" s="281">
        <v>2672.8682438999995</v>
      </c>
      <c r="I16" s="292">
        <f t="shared" si="2"/>
        <v>-5.2553773967290662E-2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7" t="s">
        <v>25</v>
      </c>
      <c r="D17" s="221">
        <v>316.99426140583336</v>
      </c>
      <c r="E17" s="281">
        <v>315.4231932733336</v>
      </c>
      <c r="F17" s="223">
        <f t="shared" si="1"/>
        <v>-4.9561406112913486E-3</v>
      </c>
      <c r="G17" s="237">
        <v>965.57468910249997</v>
      </c>
      <c r="H17" s="281">
        <v>900.51249081250023</v>
      </c>
      <c r="I17" s="292">
        <f t="shared" si="2"/>
        <v>-6.7381839048075043E-2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7" t="s">
        <v>26</v>
      </c>
      <c r="D18" s="221">
        <v>144.51035530666667</v>
      </c>
      <c r="E18" s="281">
        <v>103.05218317916666</v>
      </c>
      <c r="F18" s="223">
        <f t="shared" si="1"/>
        <v>-0.28688720638407716</v>
      </c>
      <c r="G18" s="237">
        <v>410.56799751749998</v>
      </c>
      <c r="H18" s="281">
        <v>380.40692141750003</v>
      </c>
      <c r="I18" s="223">
        <f t="shared" si="2"/>
        <v>-7.3461829179012783E-2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7" t="s">
        <v>27</v>
      </c>
      <c r="D19" s="221">
        <v>321.69151918166665</v>
      </c>
      <c r="E19" s="281">
        <v>363.76591090416639</v>
      </c>
      <c r="F19" s="223">
        <f t="shared" si="1"/>
        <v>0.13079111264583676</v>
      </c>
      <c r="G19" s="237">
        <v>941.41974621250006</v>
      </c>
      <c r="H19" s="281">
        <v>987.38616254999988</v>
      </c>
      <c r="I19" s="292">
        <f t="shared" si="2"/>
        <v>4.8826696616924625E-2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7" t="s">
        <v>28</v>
      </c>
      <c r="D20" s="221">
        <v>56.08442448763396</v>
      </c>
      <c r="E20" s="281">
        <v>96.314714320133959</v>
      </c>
      <c r="F20" s="292">
        <f t="shared" si="1"/>
        <v>0.71731662043479405</v>
      </c>
      <c r="G20" s="237">
        <v>177.17594500990185</v>
      </c>
      <c r="H20" s="281">
        <v>211.63777594040189</v>
      </c>
      <c r="I20" s="223">
        <f t="shared" si="2"/>
        <v>0.19450626284834582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7" t="s">
        <v>29</v>
      </c>
      <c r="D21" s="342">
        <v>4.6678736941666674</v>
      </c>
      <c r="E21" s="308">
        <v>4.7934779941666683</v>
      </c>
      <c r="F21" s="223">
        <f t="shared" si="1"/>
        <v>2.690824735831332E-2</v>
      </c>
      <c r="G21" s="237">
        <v>15.649678400000004</v>
      </c>
      <c r="H21" s="281">
        <v>15.201355925000003</v>
      </c>
      <c r="I21" s="223">
        <f t="shared" si="2"/>
        <v>-2.8647392204558142E-2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7" t="s">
        <v>30</v>
      </c>
      <c r="D22" s="221">
        <v>1870.6332226893403</v>
      </c>
      <c r="E22" s="281">
        <v>1780.7769756075013</v>
      </c>
      <c r="F22" s="223">
        <f t="shared" si="1"/>
        <v>-4.8035203262698389E-2</v>
      </c>
      <c r="G22" s="237">
        <v>4937.107044740731</v>
      </c>
      <c r="H22" s="281">
        <v>5472.7304733875026</v>
      </c>
      <c r="I22" s="223">
        <f t="shared" si="2"/>
        <v>0.10848932862765182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7" t="s">
        <v>31</v>
      </c>
      <c r="D23" s="221">
        <v>33.857748589333333</v>
      </c>
      <c r="E23" s="281">
        <v>34.561057233333329</v>
      </c>
      <c r="F23" s="223">
        <f t="shared" si="1"/>
        <v>2.0772457511293752E-2</v>
      </c>
      <c r="G23" s="237">
        <v>99.872893816000015</v>
      </c>
      <c r="H23" s="281">
        <v>103.68317169999997</v>
      </c>
      <c r="I23" s="223">
        <f t="shared" si="2"/>
        <v>3.8151271465306724E-2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7" t="s">
        <v>32</v>
      </c>
      <c r="D24" s="403">
        <v>9.5687002500000007E-2</v>
      </c>
      <c r="E24" s="404">
        <v>0.1395934375</v>
      </c>
      <c r="F24" s="223">
        <f t="shared" si="1"/>
        <v>0.45885474362100531</v>
      </c>
      <c r="G24" s="341">
        <v>0.34857025250000001</v>
      </c>
      <c r="H24" s="308">
        <v>0.34336238250000001</v>
      </c>
      <c r="I24" s="292">
        <f t="shared" si="2"/>
        <v>-1.4940661065160787E-2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7" t="s">
        <v>33</v>
      </c>
      <c r="D25" s="221">
        <v>63.178224223333331</v>
      </c>
      <c r="E25" s="281">
        <v>61.03882244583334</v>
      </c>
      <c r="F25" s="223">
        <f t="shared" si="1"/>
        <v>-3.3862961547277193E-2</v>
      </c>
      <c r="G25" s="237">
        <v>185.08161467000002</v>
      </c>
      <c r="H25" s="281">
        <v>180.68938301000003</v>
      </c>
      <c r="I25" s="223">
        <f t="shared" si="2"/>
        <v>-2.3731323437129803E-2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7" t="s">
        <v>34</v>
      </c>
      <c r="D26" s="221">
        <v>97.85578475749999</v>
      </c>
      <c r="E26" s="281">
        <v>101.349109575</v>
      </c>
      <c r="F26" s="223">
        <f t="shared" si="1"/>
        <v>3.5698705254441077E-2</v>
      </c>
      <c r="G26" s="237">
        <v>292.44098618250001</v>
      </c>
      <c r="H26" s="281">
        <v>282.16299814750005</v>
      </c>
      <c r="I26" s="223">
        <f t="shared" si="2"/>
        <v>-3.5145511472820412E-2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7" t="s">
        <v>35</v>
      </c>
      <c r="D27" s="221">
        <v>108.22471989833866</v>
      </c>
      <c r="E27" s="281">
        <v>94.592080058338652</v>
      </c>
      <c r="F27" s="223">
        <f t="shared" si="1"/>
        <v>-0.12596604410531986</v>
      </c>
      <c r="G27" s="237">
        <v>321.64748922501599</v>
      </c>
      <c r="H27" s="281">
        <v>307.62411533251594</v>
      </c>
      <c r="I27" s="223">
        <f t="shared" si="2"/>
        <v>-4.3598580316259405E-2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7" t="s">
        <v>36</v>
      </c>
      <c r="D28" s="221">
        <v>126.20924040000001</v>
      </c>
      <c r="E28" s="281">
        <v>126.03722989249999</v>
      </c>
      <c r="F28" s="223">
        <f t="shared" si="1"/>
        <v>-1.3628994751482271E-3</v>
      </c>
      <c r="G28" s="237">
        <v>365.42238363749999</v>
      </c>
      <c r="H28" s="281">
        <v>367.9290025075</v>
      </c>
      <c r="I28" s="223">
        <f t="shared" si="2"/>
        <v>6.8595110267972714E-3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7" t="s">
        <v>37</v>
      </c>
      <c r="D29" s="221">
        <v>5.9670069999999997</v>
      </c>
      <c r="E29" s="281">
        <v>3.5344735000000003</v>
      </c>
      <c r="F29" s="223">
        <f t="shared" si="1"/>
        <v>-0.40766392598500378</v>
      </c>
      <c r="G29" s="237">
        <v>12.942693999999999</v>
      </c>
      <c r="H29" s="281">
        <v>10.6034205</v>
      </c>
      <c r="I29" s="292">
        <f t="shared" si="2"/>
        <v>-0.18074084885264219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7" t="s">
        <v>38</v>
      </c>
      <c r="D30" s="221">
        <v>14.384306312500001</v>
      </c>
      <c r="E30" s="281">
        <v>14.131949837499999</v>
      </c>
      <c r="F30" s="339">
        <f t="shared" si="1"/>
        <v>-1.7543875214942051E-2</v>
      </c>
      <c r="G30" s="237">
        <v>42.485366832500006</v>
      </c>
      <c r="H30" s="281">
        <v>41.595376657499997</v>
      </c>
      <c r="I30" s="223">
        <f t="shared" si="2"/>
        <v>-2.0948157950685053E-2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7" t="s">
        <v>39</v>
      </c>
      <c r="D31" s="221">
        <v>1.1005480000000003</v>
      </c>
      <c r="E31" s="281">
        <v>2.92E-2</v>
      </c>
      <c r="F31" s="292">
        <f>+E31/D31-1</f>
        <v>-0.97346776333244889</v>
      </c>
      <c r="G31" s="237">
        <v>3.3016440000000005</v>
      </c>
      <c r="H31" s="281">
        <v>2.2302960000000001</v>
      </c>
      <c r="I31" s="223">
        <f t="shared" si="2"/>
        <v>-0.32448925444414967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19" t="s">
        <v>40</v>
      </c>
      <c r="D32" s="215">
        <v>15.150477785833333</v>
      </c>
      <c r="E32" s="282">
        <v>11.920954550704879</v>
      </c>
      <c r="F32" s="224">
        <f t="shared" si="1"/>
        <v>-0.21316312797397485</v>
      </c>
      <c r="G32" s="238">
        <v>36.885083047499997</v>
      </c>
      <c r="H32" s="282">
        <v>22.939450704871547</v>
      </c>
      <c r="I32" s="224">
        <f t="shared" si="2"/>
        <v>-0.37808325725251846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25" t="s">
        <v>108</v>
      </c>
      <c r="D33" s="110">
        <f>SUM(D8:D32)</f>
        <v>4930.5136805701241</v>
      </c>
      <c r="E33" s="283">
        <f>SUM(E8:E32)</f>
        <v>5047.1047336075108</v>
      </c>
      <c r="F33" s="115">
        <f>+E33/D33-1</f>
        <v>2.3646836940508287E-2</v>
      </c>
      <c r="G33" s="239">
        <f>SUM(G8:G32)</f>
        <v>14247.428151583779</v>
      </c>
      <c r="H33" s="283">
        <f>SUM(H8:H32)</f>
        <v>14692.374981375291</v>
      </c>
      <c r="I33" s="240">
        <f>+H33/G33-1</f>
        <v>3.1229975337131233E-2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1780.7769756075013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906.83118897999975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363.76591090416639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315.4231932733336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59</v>
      </c>
      <c r="O48" s="53">
        <v>293.79611579166681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18</v>
      </c>
      <c r="O49" s="53">
        <v>277.18670903999981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23</v>
      </c>
      <c r="O50" s="52">
        <v>195.08209455416662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141.62652614749999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36</v>
      </c>
      <c r="O52" s="53">
        <v>126.03722989249999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111.13249628500009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26</v>
      </c>
      <c r="O54" s="53">
        <v>103.05218317916666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34</v>
      </c>
      <c r="O55" s="52">
        <v>101.349109575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28</v>
      </c>
      <c r="O56" s="53">
        <v>96.314714320133959</v>
      </c>
      <c r="P56" s="8"/>
      <c r="S56" s="91"/>
    </row>
    <row r="57" spans="3:19">
      <c r="N57" s="51" t="s">
        <v>35</v>
      </c>
      <c r="O57" s="52">
        <v>94.592080058338652</v>
      </c>
      <c r="S57" s="91"/>
    </row>
    <row r="58" spans="3:19">
      <c r="N58" s="51" t="s">
        <v>33</v>
      </c>
      <c r="O58" s="52">
        <v>61.03882244583334</v>
      </c>
      <c r="S58" s="120"/>
    </row>
    <row r="59" spans="3:19">
      <c r="N59" s="51" t="s">
        <v>31</v>
      </c>
      <c r="O59" s="52">
        <v>34.561057233333329</v>
      </c>
      <c r="S59" s="91"/>
    </row>
    <row r="60" spans="3:19">
      <c r="N60" s="51" t="s">
        <v>38</v>
      </c>
      <c r="O60" s="52">
        <v>14.131949837499999</v>
      </c>
      <c r="S60" s="91"/>
    </row>
    <row r="61" spans="3:19">
      <c r="N61" s="51" t="s">
        <v>40</v>
      </c>
      <c r="O61" s="52">
        <v>11.920954550704879</v>
      </c>
      <c r="S61" s="91"/>
    </row>
    <row r="62" spans="3:19">
      <c r="N62" s="51" t="s">
        <v>29</v>
      </c>
      <c r="O62" s="52">
        <v>4.7934779941666683</v>
      </c>
      <c r="S62" s="91"/>
    </row>
    <row r="63" spans="3:19">
      <c r="N63" s="50" t="s">
        <v>19</v>
      </c>
      <c r="O63" s="53">
        <v>4.4937569999999996</v>
      </c>
      <c r="S63" s="91"/>
    </row>
    <row r="64" spans="3:19">
      <c r="N64" s="50" t="s">
        <v>17</v>
      </c>
      <c r="O64" s="53">
        <v>4.4553259999999995</v>
      </c>
      <c r="S64" s="91"/>
    </row>
    <row r="65" spans="6:19">
      <c r="N65" s="50" t="s">
        <v>37</v>
      </c>
      <c r="O65" s="53">
        <v>3.5344735000000003</v>
      </c>
      <c r="S65" s="91"/>
    </row>
    <row r="66" spans="6:19">
      <c r="N66" s="50" t="s">
        <v>21</v>
      </c>
      <c r="O66" s="53">
        <v>1.0395939999999999</v>
      </c>
      <c r="S66" s="91"/>
    </row>
    <row r="67" spans="6:19">
      <c r="N67" s="51" t="s">
        <v>32</v>
      </c>
      <c r="O67" s="52">
        <v>0.1395934375</v>
      </c>
      <c r="S67" s="91"/>
    </row>
    <row r="68" spans="6:19">
      <c r="N68" s="9" t="s">
        <v>39</v>
      </c>
      <c r="O68" s="52">
        <v>2.92E-2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2022-04-12T22:01:18Z</dcterms:modified>
</cp:coreProperties>
</file>